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Información\Documents\Lula Original\4to Trimestre 2018\"/>
    </mc:Choice>
  </mc:AlternateContent>
  <bookViews>
    <workbookView xWindow="0" yWindow="0" windowWidth="20490" windowHeight="7755" tabRatio="935"/>
  </bookViews>
  <sheets>
    <sheet name="RESUMEN" sheetId="1" r:id="rId1"/>
    <sheet name="PDM" sheetId="3" r:id="rId2"/>
    <sheet name="PRORE 2017-2018" sheetId="7" r:id="rId3"/>
    <sheet name="PRORE 2018" sheetId="8" r:id="rId4"/>
    <sheet name="FORTAFIN  C" sheetId="5" r:id="rId5"/>
    <sheet name="FORTAMUND" sheetId="12" r:id="rId6"/>
    <sheet name="FORTAFIN A" sheetId="26" r:id="rId7"/>
    <sheet name="FORTAFIN B" sheetId="27" r:id="rId8"/>
    <sheet name="FORTASEG FEDERAL" sheetId="23" r:id="rId9"/>
    <sheet name="FISMDF" sheetId="10" r:id="rId10"/>
    <sheet name="EMPRENDEDOR" sheetId="13" r:id="rId11"/>
    <sheet name="3X1" sheetId="14" r:id="rId12"/>
    <sheet name="EMPLEO TEMPORAL" sheetId="28" r:id="rId13"/>
  </sheets>
  <definedNames>
    <definedName name="_xlnm._FilterDatabase" localSheetId="9" hidden="1">FISMDF!$A$15:$Y$95</definedName>
    <definedName name="_xlnm._FilterDatabase" localSheetId="1" hidden="1">PDM!$A$12:$W$153</definedName>
    <definedName name="_xlnm.Print_Area" localSheetId="11">'3X1'!$C$2:$AD$17</definedName>
    <definedName name="_xlnm.Print_Area" localSheetId="12">'EMPLEO TEMPORAL'!$A$2:$X$22</definedName>
    <definedName name="_xlnm.Print_Area" localSheetId="10">EMPRENDEDOR!$A$2:$X$18</definedName>
    <definedName name="_xlnm.Print_Area" localSheetId="9">FISMDF!$A$2:$X$99</definedName>
    <definedName name="_xlnm.Print_Area" localSheetId="4">'FORTAFIN  C'!$A$1:$U$20</definedName>
    <definedName name="_xlnm.Print_Area" localSheetId="6">'FORTAFIN A'!$A$2:$V$26</definedName>
    <definedName name="_xlnm.Print_Area" localSheetId="7">'FORTAFIN B'!$A$2:$S$21</definedName>
    <definedName name="_xlnm.Print_Area" localSheetId="5">FORTAMUND!$C$2:$Q$27</definedName>
    <definedName name="_xlnm.Print_Area" localSheetId="8">'FORTASEG FEDERAL'!$C$2:$X$24</definedName>
    <definedName name="_xlnm.Print_Area" localSheetId="1">PDM!$A$2:$U$157</definedName>
    <definedName name="_xlnm.Print_Area" localSheetId="2">'PRORE 2017-2018'!$A$2:$Q$23</definedName>
    <definedName name="_xlnm.Print_Area" localSheetId="3">'PRORE 2018'!$A$1:$Q$19</definedName>
    <definedName name="_xlnm.Print_Area" localSheetId="0">RESUMEN!$A$3:$V$47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1" l="1"/>
  <c r="G38" i="3" l="1"/>
  <c r="D25" i="1"/>
  <c r="E25" i="1" s="1"/>
  <c r="R25" i="1" s="1"/>
  <c r="T25" i="1" s="1"/>
  <c r="E23" i="1"/>
  <c r="R23" i="1" s="1"/>
  <c r="T23" i="1" s="1"/>
  <c r="S17" i="1"/>
  <c r="F17" i="1"/>
  <c r="H47" i="1"/>
  <c r="H45" i="1"/>
  <c r="D37" i="1" l="1"/>
  <c r="N37" i="1"/>
  <c r="M37" i="1"/>
  <c r="L37" i="1"/>
  <c r="O17" i="1"/>
  <c r="U17" i="1" s="1"/>
  <c r="L15" i="1"/>
  <c r="L2" i="1" s="1"/>
  <c r="Q14" i="1"/>
  <c r="I14" i="1"/>
  <c r="H14" i="1"/>
  <c r="G14" i="1"/>
  <c r="F14" i="1"/>
  <c r="J20" i="28" l="1"/>
  <c r="H20" i="28"/>
  <c r="I18" i="28"/>
  <c r="G18" i="28"/>
  <c r="I17" i="28"/>
  <c r="K17" i="28" s="1"/>
  <c r="G17" i="28"/>
  <c r="L16" i="28"/>
  <c r="L20" i="28" s="1"/>
  <c r="I16" i="28"/>
  <c r="I20" i="28" s="1"/>
  <c r="C10" i="28" s="1"/>
  <c r="G16" i="28"/>
  <c r="G20" i="28" l="1"/>
  <c r="Q18" i="28"/>
  <c r="R18" i="28" s="1"/>
  <c r="Q17" i="28"/>
  <c r="R17" i="28" s="1"/>
  <c r="K16" i="28"/>
  <c r="K18" i="28"/>
  <c r="O16" i="28"/>
  <c r="O20" i="28" s="1"/>
  <c r="Q16" i="28"/>
  <c r="R16" i="28" s="1"/>
  <c r="C8" i="28" l="1"/>
  <c r="E36" i="1" s="1"/>
  <c r="C9" i="28"/>
  <c r="C11" i="28" s="1"/>
  <c r="K20" i="28"/>
  <c r="D16" i="1" l="1"/>
  <c r="P33" i="10" l="1"/>
  <c r="P44" i="10"/>
  <c r="P48" i="10"/>
  <c r="P64" i="10"/>
  <c r="P77" i="10"/>
  <c r="P85" i="10"/>
  <c r="P86" i="10"/>
  <c r="P87" i="10"/>
  <c r="P88" i="10"/>
  <c r="P92" i="10"/>
  <c r="P93" i="10"/>
  <c r="P95" i="10"/>
  <c r="P96" i="10"/>
  <c r="O64" i="10"/>
  <c r="O48" i="10"/>
  <c r="L98" i="10"/>
  <c r="H98" i="10"/>
  <c r="I96" i="10"/>
  <c r="O96" i="10" s="1"/>
  <c r="G96" i="10"/>
  <c r="I95" i="10"/>
  <c r="O95" i="10" s="1"/>
  <c r="G95" i="10"/>
  <c r="J94" i="10"/>
  <c r="I94" i="10" s="1"/>
  <c r="O94" i="10" s="1"/>
  <c r="G94" i="10"/>
  <c r="I93" i="10"/>
  <c r="M93" i="10" s="1"/>
  <c r="G93" i="10"/>
  <c r="K93" i="10" s="1"/>
  <c r="I92" i="10"/>
  <c r="G92" i="10"/>
  <c r="J91" i="10"/>
  <c r="P91" i="10" s="1"/>
  <c r="I91" i="10"/>
  <c r="O91" i="10" s="1"/>
  <c r="G91" i="10"/>
  <c r="J90" i="10"/>
  <c r="P90" i="10" s="1"/>
  <c r="G90" i="10"/>
  <c r="J89" i="10"/>
  <c r="P89" i="10" s="1"/>
  <c r="I89" i="10"/>
  <c r="O89" i="10" s="1"/>
  <c r="G89" i="10"/>
  <c r="I88" i="10"/>
  <c r="M88" i="10" s="1"/>
  <c r="G88" i="10"/>
  <c r="I87" i="10"/>
  <c r="O87" i="10" s="1"/>
  <c r="G87" i="10"/>
  <c r="I86" i="10"/>
  <c r="M86" i="10" s="1"/>
  <c r="G86" i="10"/>
  <c r="I85" i="10"/>
  <c r="G85" i="10"/>
  <c r="J84" i="10"/>
  <c r="I84" i="10" s="1"/>
  <c r="G84" i="10"/>
  <c r="J83" i="10"/>
  <c r="I83" i="10" s="1"/>
  <c r="O83" i="10" s="1"/>
  <c r="G83" i="10"/>
  <c r="J82" i="10"/>
  <c r="P82" i="10" s="1"/>
  <c r="G82" i="10"/>
  <c r="J81" i="10"/>
  <c r="I81" i="10" s="1"/>
  <c r="G81" i="10"/>
  <c r="O81" i="10" s="1"/>
  <c r="J80" i="10"/>
  <c r="I80" i="10" s="1"/>
  <c r="G80" i="10"/>
  <c r="J79" i="10"/>
  <c r="I79" i="10" s="1"/>
  <c r="G79" i="10"/>
  <c r="K79" i="10" s="1"/>
  <c r="J78" i="10"/>
  <c r="I78" i="10" s="1"/>
  <c r="G78" i="10"/>
  <c r="J77" i="10"/>
  <c r="I77" i="10" s="1"/>
  <c r="G77" i="10"/>
  <c r="K77" i="10" s="1"/>
  <c r="J76" i="10"/>
  <c r="I76" i="10" s="1"/>
  <c r="G76" i="10"/>
  <c r="J75" i="10"/>
  <c r="I75" i="10" s="1"/>
  <c r="G75" i="10"/>
  <c r="J74" i="10"/>
  <c r="I74" i="10" s="1"/>
  <c r="G74" i="10"/>
  <c r="J73" i="10"/>
  <c r="I73" i="10" s="1"/>
  <c r="G73" i="10"/>
  <c r="J72" i="10"/>
  <c r="I72" i="10" s="1"/>
  <c r="O72" i="10" s="1"/>
  <c r="G72" i="10"/>
  <c r="J71" i="10"/>
  <c r="I71" i="10" s="1"/>
  <c r="G71" i="10"/>
  <c r="J70" i="10"/>
  <c r="I70" i="10" s="1"/>
  <c r="O70" i="10" s="1"/>
  <c r="G70" i="10"/>
  <c r="J69" i="10"/>
  <c r="I69" i="10" s="1"/>
  <c r="G69" i="10"/>
  <c r="J68" i="10"/>
  <c r="I68" i="10" s="1"/>
  <c r="O68" i="10" s="1"/>
  <c r="G68" i="10"/>
  <c r="J67" i="10"/>
  <c r="I67" i="10" s="1"/>
  <c r="G67" i="10"/>
  <c r="J66" i="10"/>
  <c r="I66" i="10" s="1"/>
  <c r="O66" i="10" s="1"/>
  <c r="G66" i="10"/>
  <c r="J65" i="10"/>
  <c r="I65" i="10" s="1"/>
  <c r="G65" i="10"/>
  <c r="J64" i="10"/>
  <c r="I64" i="10" s="1"/>
  <c r="G64" i="10"/>
  <c r="J63" i="10"/>
  <c r="I63" i="10" s="1"/>
  <c r="G63" i="10"/>
  <c r="J62" i="10"/>
  <c r="I62" i="10" s="1"/>
  <c r="O62" i="10" s="1"/>
  <c r="G62" i="10"/>
  <c r="J61" i="10"/>
  <c r="I61" i="10" s="1"/>
  <c r="G61" i="10"/>
  <c r="J60" i="10"/>
  <c r="I60" i="10" s="1"/>
  <c r="O60" i="10" s="1"/>
  <c r="G60" i="10"/>
  <c r="J59" i="10"/>
  <c r="I59" i="10" s="1"/>
  <c r="G59" i="10"/>
  <c r="J58" i="10"/>
  <c r="I58" i="10" s="1"/>
  <c r="O58" i="10" s="1"/>
  <c r="G58" i="10"/>
  <c r="J57" i="10"/>
  <c r="I57" i="10" s="1"/>
  <c r="G57" i="10"/>
  <c r="J56" i="10"/>
  <c r="I56" i="10" s="1"/>
  <c r="O56" i="10" s="1"/>
  <c r="G56" i="10"/>
  <c r="J55" i="10"/>
  <c r="I55" i="10" s="1"/>
  <c r="G55" i="10"/>
  <c r="J54" i="10"/>
  <c r="I54" i="10" s="1"/>
  <c r="O54" i="10" s="1"/>
  <c r="G54" i="10"/>
  <c r="J53" i="10"/>
  <c r="I53" i="10" s="1"/>
  <c r="G53" i="10"/>
  <c r="J52" i="10"/>
  <c r="I52" i="10" s="1"/>
  <c r="O52" i="10" s="1"/>
  <c r="G52" i="10"/>
  <c r="J51" i="10"/>
  <c r="I51" i="10" s="1"/>
  <c r="G51" i="10"/>
  <c r="J50" i="10"/>
  <c r="I50" i="10" s="1"/>
  <c r="O50" i="10" s="1"/>
  <c r="G50" i="10"/>
  <c r="J49" i="10"/>
  <c r="I49" i="10" s="1"/>
  <c r="G49" i="10"/>
  <c r="J48" i="10"/>
  <c r="I48" i="10" s="1"/>
  <c r="G48" i="10"/>
  <c r="J47" i="10"/>
  <c r="I47" i="10" s="1"/>
  <c r="G47" i="10"/>
  <c r="J46" i="10"/>
  <c r="I46" i="10" s="1"/>
  <c r="O46" i="10" s="1"/>
  <c r="G46" i="10"/>
  <c r="J45" i="10"/>
  <c r="I45" i="10" s="1"/>
  <c r="G45" i="10"/>
  <c r="I44" i="10"/>
  <c r="M44" i="10" s="1"/>
  <c r="G44" i="10"/>
  <c r="J43" i="10"/>
  <c r="P43" i="10" s="1"/>
  <c r="G43" i="10"/>
  <c r="J42" i="10"/>
  <c r="I42" i="10" s="1"/>
  <c r="O42" i="10" s="1"/>
  <c r="G42" i="10"/>
  <c r="J41" i="10"/>
  <c r="P41" i="10" s="1"/>
  <c r="I41" i="10"/>
  <c r="O41" i="10" s="1"/>
  <c r="G41" i="10"/>
  <c r="J40" i="10"/>
  <c r="I40" i="10" s="1"/>
  <c r="O40" i="10" s="1"/>
  <c r="G40" i="10"/>
  <c r="J39" i="10"/>
  <c r="P39" i="10" s="1"/>
  <c r="G39" i="10"/>
  <c r="J38" i="10"/>
  <c r="I38" i="10" s="1"/>
  <c r="G38" i="10"/>
  <c r="J37" i="10"/>
  <c r="I37" i="10" s="1"/>
  <c r="O37" i="10" s="1"/>
  <c r="G37" i="10"/>
  <c r="J36" i="10"/>
  <c r="I36" i="10" s="1"/>
  <c r="G36" i="10"/>
  <c r="O36" i="10" s="1"/>
  <c r="J35" i="10"/>
  <c r="P35" i="10" s="1"/>
  <c r="G35" i="10"/>
  <c r="J34" i="10"/>
  <c r="I34" i="10" s="1"/>
  <c r="G34" i="10"/>
  <c r="J33" i="10"/>
  <c r="I33" i="10" s="1"/>
  <c r="O33" i="10" s="1"/>
  <c r="G33" i="10"/>
  <c r="J32" i="10"/>
  <c r="I32" i="10" s="1"/>
  <c r="O32" i="10" s="1"/>
  <c r="G32" i="10"/>
  <c r="J31" i="10"/>
  <c r="P31" i="10" s="1"/>
  <c r="I31" i="10"/>
  <c r="G31" i="10"/>
  <c r="J30" i="10"/>
  <c r="I30" i="10" s="1"/>
  <c r="O30" i="10" s="1"/>
  <c r="G30" i="10"/>
  <c r="J29" i="10"/>
  <c r="I29" i="10" s="1"/>
  <c r="G29" i="10"/>
  <c r="J28" i="10"/>
  <c r="I28" i="10" s="1"/>
  <c r="G28" i="10"/>
  <c r="J27" i="10"/>
  <c r="I27" i="10" s="1"/>
  <c r="G27" i="10"/>
  <c r="J26" i="10"/>
  <c r="I26" i="10" s="1"/>
  <c r="O26" i="10" s="1"/>
  <c r="G26" i="10"/>
  <c r="J25" i="10"/>
  <c r="I25" i="10" s="1"/>
  <c r="O25" i="10" s="1"/>
  <c r="G25" i="10"/>
  <c r="J24" i="10"/>
  <c r="I24" i="10" s="1"/>
  <c r="G24" i="10"/>
  <c r="J23" i="10"/>
  <c r="I23" i="10" s="1"/>
  <c r="G23" i="10"/>
  <c r="J22" i="10"/>
  <c r="I22" i="10" s="1"/>
  <c r="O22" i="10" s="1"/>
  <c r="G22" i="10"/>
  <c r="J21" i="10"/>
  <c r="I21" i="10" s="1"/>
  <c r="G21" i="10"/>
  <c r="O21" i="10" s="1"/>
  <c r="J20" i="10"/>
  <c r="I20" i="10" s="1"/>
  <c r="G20" i="10"/>
  <c r="J19" i="10"/>
  <c r="I19" i="10" s="1"/>
  <c r="G19" i="10"/>
  <c r="I18" i="10"/>
  <c r="M18" i="10" s="1"/>
  <c r="G18" i="10"/>
  <c r="J17" i="10"/>
  <c r="I17" i="10"/>
  <c r="G17" i="10"/>
  <c r="O19" i="10" l="1"/>
  <c r="O27" i="10"/>
  <c r="O31" i="10"/>
  <c r="O34" i="10"/>
  <c r="O38" i="10"/>
  <c r="O45" i="10"/>
  <c r="O47" i="10"/>
  <c r="O49" i="10"/>
  <c r="O51" i="10"/>
  <c r="O53" i="10"/>
  <c r="O55" i="10"/>
  <c r="O57" i="10"/>
  <c r="O59" i="10"/>
  <c r="O61" i="10"/>
  <c r="O63" i="10"/>
  <c r="O65" i="10"/>
  <c r="O67" i="10"/>
  <c r="O69" i="10"/>
  <c r="O71" i="10"/>
  <c r="O73" i="10"/>
  <c r="O75" i="10"/>
  <c r="O79" i="10"/>
  <c r="K85" i="10"/>
  <c r="K89" i="10"/>
  <c r="I90" i="10"/>
  <c r="M90" i="10" s="1"/>
  <c r="M96" i="10"/>
  <c r="P76" i="10"/>
  <c r="P60" i="10"/>
  <c r="P32" i="10"/>
  <c r="O23" i="10"/>
  <c r="O29" i="10"/>
  <c r="K33" i="10"/>
  <c r="K20" i="10"/>
  <c r="O24" i="10"/>
  <c r="O28" i="10"/>
  <c r="K44" i="10"/>
  <c r="P84" i="10"/>
  <c r="P72" i="10"/>
  <c r="P56" i="10"/>
  <c r="P25" i="10"/>
  <c r="K90" i="10"/>
  <c r="K17" i="10"/>
  <c r="I39" i="10"/>
  <c r="O39" i="10" s="1"/>
  <c r="O74" i="10"/>
  <c r="O78" i="10"/>
  <c r="O80" i="10"/>
  <c r="I82" i="10"/>
  <c r="M82" i="10" s="1"/>
  <c r="O88" i="10"/>
  <c r="K91" i="10"/>
  <c r="O92" i="10"/>
  <c r="K96" i="10"/>
  <c r="O93" i="10"/>
  <c r="P81" i="10"/>
  <c r="P68" i="10"/>
  <c r="P52" i="10"/>
  <c r="P40" i="10"/>
  <c r="P21" i="10"/>
  <c r="M84" i="10"/>
  <c r="K84" i="10"/>
  <c r="O84" i="10"/>
  <c r="M76" i="10"/>
  <c r="K76" i="10"/>
  <c r="O76" i="10"/>
  <c r="O44" i="10"/>
  <c r="P69" i="10"/>
  <c r="P61" i="10"/>
  <c r="P53" i="10"/>
  <c r="P45" i="10"/>
  <c r="O17" i="10"/>
  <c r="M92" i="10"/>
  <c r="M95" i="10"/>
  <c r="P24" i="10"/>
  <c r="J98" i="10"/>
  <c r="K21" i="10"/>
  <c r="K23" i="10"/>
  <c r="K32" i="10"/>
  <c r="I35" i="10"/>
  <c r="O35" i="10" s="1"/>
  <c r="I43" i="10"/>
  <c r="O43" i="10" s="1"/>
  <c r="K88" i="10"/>
  <c r="O86" i="10"/>
  <c r="O90" i="10"/>
  <c r="P83" i="10"/>
  <c r="P79" i="10"/>
  <c r="P75" i="10"/>
  <c r="P71" i="10"/>
  <c r="P67" i="10"/>
  <c r="P63" i="10"/>
  <c r="P59" i="10"/>
  <c r="P55" i="10"/>
  <c r="P51" i="10"/>
  <c r="P47" i="10"/>
  <c r="P27" i="10"/>
  <c r="P23" i="10"/>
  <c r="P19" i="10"/>
  <c r="O20" i="10"/>
  <c r="P73" i="10"/>
  <c r="P65" i="10"/>
  <c r="P57" i="10"/>
  <c r="P49" i="10"/>
  <c r="P37" i="10"/>
  <c r="P29" i="10"/>
  <c r="O77" i="10"/>
  <c r="O85" i="10"/>
  <c r="P80" i="10"/>
  <c r="P36" i="10"/>
  <c r="P28" i="10"/>
  <c r="P20" i="10"/>
  <c r="K18" i="10"/>
  <c r="K31" i="10"/>
  <c r="K75" i="10"/>
  <c r="K92" i="10"/>
  <c r="P94" i="10"/>
  <c r="P78" i="10"/>
  <c r="P74" i="10"/>
  <c r="P70" i="10"/>
  <c r="P66" i="10"/>
  <c r="P62" i="10"/>
  <c r="P58" i="10"/>
  <c r="P54" i="10"/>
  <c r="P50" i="10"/>
  <c r="P46" i="10"/>
  <c r="P42" i="10"/>
  <c r="P38" i="10"/>
  <c r="P34" i="10"/>
  <c r="P30" i="10"/>
  <c r="P26" i="10"/>
  <c r="P22" i="10"/>
  <c r="P17" i="10"/>
  <c r="M53" i="10"/>
  <c r="K53" i="10"/>
  <c r="M23" i="10"/>
  <c r="M24" i="10"/>
  <c r="M49" i="10"/>
  <c r="K49" i="10"/>
  <c r="M55" i="10"/>
  <c r="K55" i="10"/>
  <c r="M61" i="10"/>
  <c r="K61" i="10"/>
  <c r="M67" i="10"/>
  <c r="K67" i="10"/>
  <c r="M73" i="10"/>
  <c r="K19" i="10"/>
  <c r="K25" i="10"/>
  <c r="K30" i="10"/>
  <c r="M30" i="10"/>
  <c r="M78" i="10"/>
  <c r="K78" i="10"/>
  <c r="K83" i="10"/>
  <c r="K28" i="10"/>
  <c r="M28" i="10"/>
  <c r="M62" i="10"/>
  <c r="K62" i="10"/>
  <c r="M79" i="10"/>
  <c r="M94" i="10"/>
  <c r="K94" i="10"/>
  <c r="M20" i="10"/>
  <c r="K26" i="10"/>
  <c r="M26" i="10"/>
  <c r="K36" i="10"/>
  <c r="M36" i="10"/>
  <c r="M80" i="10"/>
  <c r="K80" i="10"/>
  <c r="M71" i="10"/>
  <c r="M19" i="10"/>
  <c r="K40" i="10"/>
  <c r="M40" i="10"/>
  <c r="M50" i="10"/>
  <c r="K50" i="10"/>
  <c r="M68" i="10"/>
  <c r="K68" i="10"/>
  <c r="M74" i="10"/>
  <c r="K74" i="10"/>
  <c r="M51" i="10"/>
  <c r="K51" i="10"/>
  <c r="M57" i="10"/>
  <c r="K57" i="10"/>
  <c r="M63" i="10"/>
  <c r="K63" i="10"/>
  <c r="M69" i="10"/>
  <c r="K69" i="10"/>
  <c r="M75" i="10"/>
  <c r="M21" i="10"/>
  <c r="M27" i="10"/>
  <c r="K27" i="10"/>
  <c r="M32" i="10"/>
  <c r="M46" i="10"/>
  <c r="K46" i="10"/>
  <c r="M52" i="10"/>
  <c r="K52" i="10"/>
  <c r="M58" i="10"/>
  <c r="K58" i="10"/>
  <c r="M64" i="10"/>
  <c r="K64" i="10"/>
  <c r="M70" i="10"/>
  <c r="K70" i="10"/>
  <c r="K81" i="10"/>
  <c r="M47" i="10"/>
  <c r="K47" i="10"/>
  <c r="M25" i="10"/>
  <c r="M56" i="10"/>
  <c r="K56" i="10"/>
  <c r="M83" i="10"/>
  <c r="M45" i="10"/>
  <c r="K45" i="10"/>
  <c r="K22" i="10"/>
  <c r="K42" i="10"/>
  <c r="M42" i="10"/>
  <c r="K65" i="10"/>
  <c r="K71" i="10"/>
  <c r="M81" i="10"/>
  <c r="M59" i="10"/>
  <c r="K59" i="10"/>
  <c r="M22" i="10"/>
  <c r="M65" i="10"/>
  <c r="K38" i="10"/>
  <c r="M38" i="10"/>
  <c r="M48" i="10"/>
  <c r="K48" i="10"/>
  <c r="M54" i="10"/>
  <c r="K54" i="10"/>
  <c r="M60" i="10"/>
  <c r="K60" i="10"/>
  <c r="M66" i="10"/>
  <c r="K66" i="10"/>
  <c r="M72" i="10"/>
  <c r="K72" i="10"/>
  <c r="K24" i="10"/>
  <c r="K34" i="10"/>
  <c r="M34" i="10"/>
  <c r="K73" i="10"/>
  <c r="M77" i="10"/>
  <c r="K87" i="10"/>
  <c r="M89" i="10"/>
  <c r="M91" i="10"/>
  <c r="M87" i="10"/>
  <c r="M85" i="10"/>
  <c r="K29" i="10"/>
  <c r="K37" i="10"/>
  <c r="K41" i="10"/>
  <c r="K43" i="10"/>
  <c r="G98" i="10"/>
  <c r="M29" i="10"/>
  <c r="M31" i="10"/>
  <c r="M33" i="10"/>
  <c r="M37" i="10"/>
  <c r="M41" i="10"/>
  <c r="M43" i="10"/>
  <c r="M17" i="10"/>
  <c r="K86" i="10"/>
  <c r="K95" i="10"/>
  <c r="M39" i="10" l="1"/>
  <c r="K39" i="10"/>
  <c r="O82" i="10"/>
  <c r="K82" i="10"/>
  <c r="K98" i="10" s="1"/>
  <c r="M35" i="10"/>
  <c r="K35" i="10"/>
  <c r="M98" i="10"/>
  <c r="I98" i="10"/>
  <c r="I18" i="27"/>
  <c r="H18" i="27"/>
  <c r="G18" i="27"/>
  <c r="F15" i="27"/>
  <c r="F18" i="27" s="1"/>
  <c r="J23" i="26"/>
  <c r="H23" i="26"/>
  <c r="I20" i="26"/>
  <c r="G20" i="26"/>
  <c r="K20" i="26" s="1"/>
  <c r="I19" i="26"/>
  <c r="G19" i="26"/>
  <c r="K19" i="26" s="1"/>
  <c r="I18" i="26"/>
  <c r="G18" i="26"/>
  <c r="K18" i="26" s="1"/>
  <c r="I17" i="26"/>
  <c r="G17" i="26"/>
  <c r="K17" i="26" s="1"/>
  <c r="I16" i="26"/>
  <c r="G16" i="26"/>
  <c r="I15" i="26"/>
  <c r="G15" i="26"/>
  <c r="M15" i="26" l="1"/>
  <c r="M17" i="26"/>
  <c r="K15" i="26"/>
  <c r="M20" i="26"/>
  <c r="M19" i="26"/>
  <c r="K16" i="26"/>
  <c r="M18" i="26"/>
  <c r="J15" i="27"/>
  <c r="J18" i="27" s="1"/>
  <c r="L15" i="27"/>
  <c r="I23" i="26"/>
  <c r="C10" i="26" s="1"/>
  <c r="E22" i="1" s="1"/>
  <c r="S22" i="1" s="1"/>
  <c r="V22" i="1" s="1"/>
  <c r="M16" i="26"/>
  <c r="G23" i="26"/>
  <c r="K23" i="26" l="1"/>
  <c r="C11" i="26" s="1"/>
  <c r="C9" i="26"/>
  <c r="F22" i="1"/>
  <c r="J22" i="1" s="1"/>
  <c r="L22" i="23"/>
  <c r="K22" i="23"/>
  <c r="H22" i="23"/>
  <c r="N21" i="23"/>
  <c r="M21" i="23"/>
  <c r="J21" i="23"/>
  <c r="G21" i="23"/>
  <c r="N20" i="23"/>
  <c r="M20" i="23"/>
  <c r="J20" i="23"/>
  <c r="Q20" i="23" s="1"/>
  <c r="R20" i="23" s="1"/>
  <c r="G20" i="23"/>
  <c r="T19" i="23"/>
  <c r="N19" i="23"/>
  <c r="M19" i="23"/>
  <c r="L19" i="23"/>
  <c r="J19" i="23"/>
  <c r="Q19" i="23" s="1"/>
  <c r="R19" i="23" s="1"/>
  <c r="I19" i="23"/>
  <c r="G19" i="23" s="1"/>
  <c r="T18" i="23"/>
  <c r="N18" i="23"/>
  <c r="J18" i="23"/>
  <c r="Q18" i="23" s="1"/>
  <c r="R18" i="23" s="1"/>
  <c r="G18" i="23"/>
  <c r="N17" i="23"/>
  <c r="M17" i="23"/>
  <c r="J17" i="23"/>
  <c r="Q17" i="23" s="1"/>
  <c r="R17" i="23" s="1"/>
  <c r="G17" i="23"/>
  <c r="N16" i="23"/>
  <c r="M16" i="23"/>
  <c r="J16" i="23"/>
  <c r="G16" i="23"/>
  <c r="Q16" i="23" s="1"/>
  <c r="R16" i="23" s="1"/>
  <c r="N22" i="23" l="1"/>
  <c r="J22" i="23"/>
  <c r="O18" i="23"/>
  <c r="M18" i="23" s="1"/>
  <c r="M22" i="23" s="1"/>
  <c r="Q21" i="23"/>
  <c r="R21" i="23" s="1"/>
  <c r="G22" i="23"/>
  <c r="I22" i="23"/>
  <c r="O22" i="23" l="1"/>
  <c r="F23" i="12"/>
  <c r="G21" i="12"/>
  <c r="N16" i="1" s="1"/>
  <c r="F18" i="12"/>
  <c r="G18" i="12"/>
  <c r="P16" i="1" s="1"/>
  <c r="G16" i="12"/>
  <c r="F21" i="12" l="1"/>
  <c r="H93" i="3"/>
  <c r="G60" i="3"/>
  <c r="J61" i="3"/>
  <c r="J35" i="3"/>
  <c r="L151" i="3"/>
  <c r="K151" i="3" s="1"/>
  <c r="I151" i="3"/>
  <c r="G151" i="3"/>
  <c r="L152" i="3"/>
  <c r="K152" i="3" s="1"/>
  <c r="I152" i="3"/>
  <c r="G152" i="3"/>
  <c r="L150" i="3"/>
  <c r="K150" i="3" s="1"/>
  <c r="I150" i="3"/>
  <c r="G150" i="3"/>
  <c r="L149" i="3"/>
  <c r="K149" i="3" s="1"/>
  <c r="I149" i="3"/>
  <c r="G149" i="3"/>
  <c r="G137" i="3"/>
  <c r="N150" i="3" l="1"/>
  <c r="N151" i="3"/>
  <c r="N152" i="3"/>
  <c r="N149" i="3"/>
  <c r="L153" i="3" l="1"/>
  <c r="K153" i="3" s="1"/>
  <c r="I153" i="3"/>
  <c r="G153" i="3"/>
  <c r="L148" i="3"/>
  <c r="K148" i="3" s="1"/>
  <c r="I148" i="3"/>
  <c r="G148" i="3"/>
  <c r="L147" i="3"/>
  <c r="K147" i="3" s="1"/>
  <c r="I147" i="3"/>
  <c r="G147" i="3"/>
  <c r="L146" i="3"/>
  <c r="K146" i="3" s="1"/>
  <c r="I146" i="3"/>
  <c r="G146" i="3"/>
  <c r="L145" i="3"/>
  <c r="K145" i="3" s="1"/>
  <c r="I145" i="3"/>
  <c r="G145" i="3"/>
  <c r="L144" i="3"/>
  <c r="K144" i="3" s="1"/>
  <c r="I144" i="3"/>
  <c r="G144" i="3"/>
  <c r="L143" i="3"/>
  <c r="K143" i="3" s="1"/>
  <c r="I143" i="3"/>
  <c r="G143" i="3"/>
  <c r="L142" i="3"/>
  <c r="K142" i="3" s="1"/>
  <c r="I142" i="3"/>
  <c r="G142" i="3"/>
  <c r="L141" i="3"/>
  <c r="K141" i="3" s="1"/>
  <c r="I141" i="3"/>
  <c r="G141" i="3"/>
  <c r="L140" i="3"/>
  <c r="K140" i="3" s="1"/>
  <c r="I140" i="3"/>
  <c r="G140" i="3"/>
  <c r="L139" i="3"/>
  <c r="K139" i="3" s="1"/>
  <c r="I139" i="3"/>
  <c r="G139" i="3"/>
  <c r="J138" i="3"/>
  <c r="L138" i="3" s="1"/>
  <c r="K138" i="3" s="1"/>
  <c r="G138" i="3"/>
  <c r="J137" i="3"/>
  <c r="J136" i="3"/>
  <c r="J135" i="3"/>
  <c r="L135" i="3" s="1"/>
  <c r="K135" i="3" s="1"/>
  <c r="G135" i="3"/>
  <c r="J134" i="3"/>
  <c r="L134" i="3" s="1"/>
  <c r="K134" i="3" s="1"/>
  <c r="G134" i="3"/>
  <c r="J133" i="3"/>
  <c r="L133" i="3" s="1"/>
  <c r="K133" i="3" s="1"/>
  <c r="G133" i="3"/>
  <c r="J132" i="3"/>
  <c r="L132" i="3" s="1"/>
  <c r="K132" i="3" s="1"/>
  <c r="G132" i="3"/>
  <c r="J131" i="3"/>
  <c r="I131" i="3" s="1"/>
  <c r="G131" i="3"/>
  <c r="J130" i="3"/>
  <c r="J129" i="3"/>
  <c r="L129" i="3" s="1"/>
  <c r="K129" i="3" s="1"/>
  <c r="G129" i="3"/>
  <c r="J128" i="3"/>
  <c r="J127" i="3"/>
  <c r="J126" i="3"/>
  <c r="J125" i="3"/>
  <c r="J124" i="3"/>
  <c r="J123" i="3"/>
  <c r="I123" i="3" s="1"/>
  <c r="H123" i="3" s="1"/>
  <c r="G123" i="3" s="1"/>
  <c r="J122" i="3"/>
  <c r="J121" i="3"/>
  <c r="I121" i="3" s="1"/>
  <c r="G121" i="3"/>
  <c r="J120" i="3"/>
  <c r="L120" i="3" s="1"/>
  <c r="K120" i="3" s="1"/>
  <c r="G120" i="3"/>
  <c r="J119" i="3"/>
  <c r="L119" i="3" s="1"/>
  <c r="K119" i="3" s="1"/>
  <c r="G119" i="3"/>
  <c r="J118" i="3"/>
  <c r="L118" i="3" s="1"/>
  <c r="K118" i="3" s="1"/>
  <c r="G118" i="3"/>
  <c r="J117" i="3"/>
  <c r="I117" i="3" s="1"/>
  <c r="H117" i="3" s="1"/>
  <c r="G117" i="3" s="1"/>
  <c r="J116" i="3"/>
  <c r="L116" i="3" s="1"/>
  <c r="K116" i="3" s="1"/>
  <c r="G116" i="3"/>
  <c r="J115" i="3"/>
  <c r="J114" i="3"/>
  <c r="L114" i="3" s="1"/>
  <c r="K114" i="3" s="1"/>
  <c r="G114" i="3"/>
  <c r="J113" i="3"/>
  <c r="I113" i="3" s="1"/>
  <c r="G113" i="3"/>
  <c r="J112" i="3"/>
  <c r="J111" i="3"/>
  <c r="L111" i="3" s="1"/>
  <c r="K111" i="3" s="1"/>
  <c r="G111" i="3"/>
  <c r="J110" i="3"/>
  <c r="L110" i="3" s="1"/>
  <c r="K110" i="3" s="1"/>
  <c r="G110" i="3"/>
  <c r="J109" i="3"/>
  <c r="L109" i="3" s="1"/>
  <c r="K109" i="3" s="1"/>
  <c r="G109" i="3"/>
  <c r="L108" i="3"/>
  <c r="K108" i="3" s="1"/>
  <c r="I108" i="3"/>
  <c r="G108" i="3"/>
  <c r="J107" i="3"/>
  <c r="L107" i="3" s="1"/>
  <c r="K107" i="3" s="1"/>
  <c r="G107" i="3"/>
  <c r="J106" i="3"/>
  <c r="I106" i="3" s="1"/>
  <c r="H106" i="3" s="1"/>
  <c r="L106" i="3" s="1"/>
  <c r="K106" i="3" s="1"/>
  <c r="J105" i="3"/>
  <c r="L105" i="3" s="1"/>
  <c r="K105" i="3" s="1"/>
  <c r="G105" i="3"/>
  <c r="J104" i="3"/>
  <c r="J103" i="3"/>
  <c r="J102" i="3"/>
  <c r="J101" i="3"/>
  <c r="J100" i="3"/>
  <c r="I100" i="3" s="1"/>
  <c r="H100" i="3" s="1"/>
  <c r="L100" i="3" s="1"/>
  <c r="K100" i="3" s="1"/>
  <c r="J99" i="3"/>
  <c r="L99" i="3" s="1"/>
  <c r="K99" i="3" s="1"/>
  <c r="G99" i="3"/>
  <c r="J98" i="3"/>
  <c r="L98" i="3" s="1"/>
  <c r="K98" i="3" s="1"/>
  <c r="G98" i="3"/>
  <c r="J97" i="3"/>
  <c r="L97" i="3" s="1"/>
  <c r="K97" i="3" s="1"/>
  <c r="G97" i="3"/>
  <c r="J96" i="3"/>
  <c r="J95" i="3"/>
  <c r="J94" i="3"/>
  <c r="J93" i="3"/>
  <c r="L93" i="3" s="1"/>
  <c r="K93" i="3" s="1"/>
  <c r="G93" i="3"/>
  <c r="J92" i="3"/>
  <c r="I92" i="3" s="1"/>
  <c r="G92" i="3"/>
  <c r="J91" i="3"/>
  <c r="G91" i="3"/>
  <c r="J90" i="3"/>
  <c r="I90" i="3" s="1"/>
  <c r="G90" i="3"/>
  <c r="J89" i="3"/>
  <c r="J88" i="3"/>
  <c r="L88" i="3" s="1"/>
  <c r="K88" i="3" s="1"/>
  <c r="G88" i="3"/>
  <c r="J87" i="3"/>
  <c r="L87" i="3" s="1"/>
  <c r="K87" i="3" s="1"/>
  <c r="G87" i="3"/>
  <c r="J86" i="3"/>
  <c r="I86" i="3" s="1"/>
  <c r="G86" i="3"/>
  <c r="J85" i="3"/>
  <c r="L85" i="3" s="1"/>
  <c r="K85" i="3" s="1"/>
  <c r="G85" i="3"/>
  <c r="J84" i="3"/>
  <c r="L84" i="3" s="1"/>
  <c r="K84" i="3" s="1"/>
  <c r="G84" i="3"/>
  <c r="J83" i="3"/>
  <c r="L83" i="3" s="1"/>
  <c r="K83" i="3" s="1"/>
  <c r="G83" i="3"/>
  <c r="J82" i="3"/>
  <c r="I82" i="3" s="1"/>
  <c r="G82" i="3"/>
  <c r="J81" i="3"/>
  <c r="L81" i="3" s="1"/>
  <c r="K81" i="3" s="1"/>
  <c r="G81" i="3"/>
  <c r="J80" i="3"/>
  <c r="L80" i="3" s="1"/>
  <c r="K80" i="3" s="1"/>
  <c r="G80" i="3"/>
  <c r="J79" i="3"/>
  <c r="L79" i="3" s="1"/>
  <c r="K79" i="3" s="1"/>
  <c r="G79" i="3"/>
  <c r="J78" i="3"/>
  <c r="L78" i="3" s="1"/>
  <c r="K78" i="3" s="1"/>
  <c r="G78" i="3"/>
  <c r="J77" i="3"/>
  <c r="L77" i="3" s="1"/>
  <c r="K77" i="3" s="1"/>
  <c r="G77" i="3"/>
  <c r="J76" i="3"/>
  <c r="I76" i="3" s="1"/>
  <c r="G76" i="3"/>
  <c r="J75" i="3"/>
  <c r="L75" i="3" s="1"/>
  <c r="K75" i="3" s="1"/>
  <c r="G75" i="3"/>
  <c r="L74" i="3"/>
  <c r="K74" i="3" s="1"/>
  <c r="I74" i="3"/>
  <c r="G74" i="3"/>
  <c r="J73" i="3"/>
  <c r="L73" i="3" s="1"/>
  <c r="K73" i="3" s="1"/>
  <c r="G73" i="3"/>
  <c r="J72" i="3"/>
  <c r="L72" i="3" s="1"/>
  <c r="K72" i="3" s="1"/>
  <c r="G72" i="3"/>
  <c r="J71" i="3"/>
  <c r="L71" i="3" s="1"/>
  <c r="K71" i="3" s="1"/>
  <c r="G71" i="3"/>
  <c r="J70" i="3"/>
  <c r="L70" i="3" s="1"/>
  <c r="K70" i="3" s="1"/>
  <c r="G70" i="3"/>
  <c r="J69" i="3"/>
  <c r="L69" i="3" s="1"/>
  <c r="K69" i="3" s="1"/>
  <c r="G69" i="3"/>
  <c r="J68" i="3"/>
  <c r="L68" i="3" s="1"/>
  <c r="K68" i="3" s="1"/>
  <c r="G68" i="3"/>
  <c r="J67" i="3"/>
  <c r="L67" i="3" s="1"/>
  <c r="K67" i="3" s="1"/>
  <c r="G67" i="3"/>
  <c r="J66" i="3"/>
  <c r="L66" i="3" s="1"/>
  <c r="K66" i="3" s="1"/>
  <c r="G66" i="3"/>
  <c r="L65" i="3"/>
  <c r="K65" i="3" s="1"/>
  <c r="I65" i="3"/>
  <c r="G65" i="3"/>
  <c r="J64" i="3"/>
  <c r="I64" i="3" s="1"/>
  <c r="G64" i="3"/>
  <c r="J63" i="3"/>
  <c r="L63" i="3" s="1"/>
  <c r="K63" i="3" s="1"/>
  <c r="G63" i="3"/>
  <c r="J62" i="3"/>
  <c r="L62" i="3" s="1"/>
  <c r="K62" i="3" s="1"/>
  <c r="G62" i="3"/>
  <c r="I61" i="3"/>
  <c r="G61" i="3"/>
  <c r="J60" i="3"/>
  <c r="I60" i="3" s="1"/>
  <c r="L60" i="3" s="1"/>
  <c r="J59" i="3"/>
  <c r="I59" i="3" s="1"/>
  <c r="G59" i="3"/>
  <c r="J58" i="3"/>
  <c r="I58" i="3" s="1"/>
  <c r="G58" i="3"/>
  <c r="J57" i="3"/>
  <c r="L57" i="3" s="1"/>
  <c r="K57" i="3" s="1"/>
  <c r="G57" i="3"/>
  <c r="J56" i="3"/>
  <c r="L56" i="3" s="1"/>
  <c r="K56" i="3" s="1"/>
  <c r="G56" i="3"/>
  <c r="J55" i="3"/>
  <c r="L55" i="3" s="1"/>
  <c r="K55" i="3" s="1"/>
  <c r="G55" i="3"/>
  <c r="J54" i="3"/>
  <c r="L54" i="3" s="1"/>
  <c r="K54" i="3" s="1"/>
  <c r="G54" i="3"/>
  <c r="J53" i="3"/>
  <c r="I53" i="3" s="1"/>
  <c r="G53" i="3"/>
  <c r="J52" i="3"/>
  <c r="I52" i="3" s="1"/>
  <c r="G52" i="3"/>
  <c r="J51" i="3"/>
  <c r="L51" i="3" s="1"/>
  <c r="K51" i="3" s="1"/>
  <c r="G51" i="3"/>
  <c r="J50" i="3"/>
  <c r="I50" i="3" s="1"/>
  <c r="G50" i="3"/>
  <c r="J49" i="3"/>
  <c r="J48" i="3"/>
  <c r="L48" i="3" s="1"/>
  <c r="K48" i="3" s="1"/>
  <c r="G48" i="3"/>
  <c r="J47" i="3"/>
  <c r="L47" i="3" s="1"/>
  <c r="K47" i="3" s="1"/>
  <c r="G47" i="3"/>
  <c r="J46" i="3"/>
  <c r="I46" i="3" s="1"/>
  <c r="G46" i="3"/>
  <c r="J45" i="3"/>
  <c r="I45" i="3" s="1"/>
  <c r="G45" i="3"/>
  <c r="J44" i="3"/>
  <c r="I44" i="3" s="1"/>
  <c r="G44" i="3"/>
  <c r="J43" i="3"/>
  <c r="L43" i="3" s="1"/>
  <c r="K43" i="3" s="1"/>
  <c r="G43" i="3"/>
  <c r="J42" i="3"/>
  <c r="I42" i="3" s="1"/>
  <c r="G42" i="3"/>
  <c r="J41" i="3"/>
  <c r="L41" i="3" s="1"/>
  <c r="K41" i="3" s="1"/>
  <c r="G41" i="3"/>
  <c r="J40" i="3"/>
  <c r="L40" i="3" s="1"/>
  <c r="K40" i="3" s="1"/>
  <c r="G40" i="3"/>
  <c r="J39" i="3"/>
  <c r="L39" i="3" s="1"/>
  <c r="K39" i="3" s="1"/>
  <c r="G39" i="3"/>
  <c r="J38" i="3"/>
  <c r="L38" i="3" s="1"/>
  <c r="J37" i="3"/>
  <c r="I37" i="3" s="1"/>
  <c r="H37" i="3" s="1"/>
  <c r="G37" i="3" s="1"/>
  <c r="J36" i="3"/>
  <c r="L36" i="3" s="1"/>
  <c r="K36" i="3" s="1"/>
  <c r="G36" i="3"/>
  <c r="I35" i="3"/>
  <c r="G35" i="3"/>
  <c r="J34" i="3"/>
  <c r="J33" i="3"/>
  <c r="I33" i="3" s="1"/>
  <c r="H33" i="3" s="1"/>
  <c r="G33" i="3" s="1"/>
  <c r="J32" i="3"/>
  <c r="J31" i="3"/>
  <c r="J30" i="3"/>
  <c r="I30" i="3" s="1"/>
  <c r="H30" i="3" s="1"/>
  <c r="G30" i="3" s="1"/>
  <c r="J29" i="3"/>
  <c r="J28" i="3"/>
  <c r="I28" i="3" s="1"/>
  <c r="G28" i="3"/>
  <c r="J27" i="3"/>
  <c r="L27" i="3" s="1"/>
  <c r="K27" i="3" s="1"/>
  <c r="G27" i="3"/>
  <c r="J26" i="3"/>
  <c r="I26" i="3" s="1"/>
  <c r="G26" i="3"/>
  <c r="J25" i="3"/>
  <c r="L25" i="3" s="1"/>
  <c r="K25" i="3" s="1"/>
  <c r="G25" i="3"/>
  <c r="J24" i="3"/>
  <c r="I24" i="3" s="1"/>
  <c r="G24" i="3"/>
  <c r="J23" i="3"/>
  <c r="L23" i="3" s="1"/>
  <c r="K23" i="3" s="1"/>
  <c r="G23" i="3"/>
  <c r="J22" i="3"/>
  <c r="I22" i="3" s="1"/>
  <c r="H22" i="3" s="1"/>
  <c r="G22" i="3" s="1"/>
  <c r="L21" i="3"/>
  <c r="K21" i="3" s="1"/>
  <c r="I21" i="3"/>
  <c r="G21" i="3"/>
  <c r="J20" i="3"/>
  <c r="I20" i="3" s="1"/>
  <c r="H20" i="3" s="1"/>
  <c r="G20" i="3" s="1"/>
  <c r="L19" i="3"/>
  <c r="K19" i="3" s="1"/>
  <c r="I19" i="3"/>
  <c r="G19" i="3"/>
  <c r="L18" i="3"/>
  <c r="K18" i="3" s="1"/>
  <c r="I18" i="3"/>
  <c r="G18" i="3"/>
  <c r="J17" i="3"/>
  <c r="L17" i="3" s="1"/>
  <c r="K17" i="3" s="1"/>
  <c r="G17" i="3"/>
  <c r="L16" i="3"/>
  <c r="K16" i="3" s="1"/>
  <c r="I16" i="3"/>
  <c r="G16" i="3"/>
  <c r="J15" i="3"/>
  <c r="I15" i="3" s="1"/>
  <c r="H15" i="3" s="1"/>
  <c r="G15" i="3" s="1"/>
  <c r="L14" i="3"/>
  <c r="K14" i="3" s="1"/>
  <c r="I14" i="3"/>
  <c r="G14" i="3"/>
  <c r="L13" i="3"/>
  <c r="K13" i="3" s="1"/>
  <c r="I13" i="3"/>
  <c r="G13" i="3"/>
  <c r="G100" i="3" l="1"/>
  <c r="N100" i="3" s="1"/>
  <c r="I137" i="3"/>
  <c r="N137" i="3" s="1"/>
  <c r="L137" i="3"/>
  <c r="K137" i="3" s="1"/>
  <c r="L86" i="3"/>
  <c r="K86" i="3" s="1"/>
  <c r="I98" i="3"/>
  <c r="N98" i="3" s="1"/>
  <c r="L76" i="3"/>
  <c r="K76" i="3" s="1"/>
  <c r="L15" i="3"/>
  <c r="K15" i="3" s="1"/>
  <c r="G106" i="3"/>
  <c r="N106" i="3" s="1"/>
  <c r="L20" i="3"/>
  <c r="K20" i="3" s="1"/>
  <c r="N28" i="3"/>
  <c r="N46" i="3"/>
  <c r="N121" i="3"/>
  <c r="N113" i="3"/>
  <c r="N146" i="3"/>
  <c r="N35" i="3"/>
  <c r="N59" i="3"/>
  <c r="N60" i="3"/>
  <c r="N117" i="3"/>
  <c r="N22" i="3"/>
  <c r="N37" i="3"/>
  <c r="N26" i="3"/>
  <c r="N44" i="3"/>
  <c r="N74" i="3"/>
  <c r="N86" i="3"/>
  <c r="L50" i="3"/>
  <c r="K50" i="3" s="1"/>
  <c r="L46" i="3"/>
  <c r="K46" i="3" s="1"/>
  <c r="L64" i="3"/>
  <c r="K64" i="3" s="1"/>
  <c r="I80" i="3"/>
  <c r="N80" i="3" s="1"/>
  <c r="L59" i="3"/>
  <c r="K59" i="3" s="1"/>
  <c r="N42" i="3"/>
  <c r="I57" i="3"/>
  <c r="N57" i="3" s="1"/>
  <c r="N82" i="3"/>
  <c r="L42" i="3"/>
  <c r="K42" i="3" s="1"/>
  <c r="L82" i="3"/>
  <c r="K82" i="3" s="1"/>
  <c r="N140" i="3"/>
  <c r="I48" i="3"/>
  <c r="N48" i="3" s="1"/>
  <c r="I88" i="3"/>
  <c r="N88" i="3" s="1"/>
  <c r="N108" i="3"/>
  <c r="N92" i="3"/>
  <c r="I38" i="3"/>
  <c r="N53" i="3"/>
  <c r="I104" i="3"/>
  <c r="I125" i="3"/>
  <c r="N148" i="3"/>
  <c r="L58" i="3"/>
  <c r="K58" i="3" s="1"/>
  <c r="I54" i="3"/>
  <c r="N54" i="3" s="1"/>
  <c r="I115" i="3"/>
  <c r="L123" i="3"/>
  <c r="K123" i="3" s="1"/>
  <c r="N52" i="3"/>
  <c r="K60" i="3"/>
  <c r="L117" i="3"/>
  <c r="K117" i="3" s="1"/>
  <c r="N33" i="3"/>
  <c r="L52" i="3"/>
  <c r="K52" i="3" s="1"/>
  <c r="L113" i="3"/>
  <c r="K113" i="3" s="1"/>
  <c r="L92" i="3"/>
  <c r="K92" i="3" s="1"/>
  <c r="L131" i="3"/>
  <c r="K131" i="3" s="1"/>
  <c r="N61" i="3"/>
  <c r="I102" i="3"/>
  <c r="N123" i="3"/>
  <c r="N144" i="3"/>
  <c r="N147" i="3"/>
  <c r="I40" i="3"/>
  <c r="N40" i="3" s="1"/>
  <c r="L44" i="3"/>
  <c r="K44" i="3" s="1"/>
  <c r="N58" i="3"/>
  <c r="I62" i="3"/>
  <c r="N62" i="3" s="1"/>
  <c r="I94" i="3"/>
  <c r="I111" i="3"/>
  <c r="N111" i="3" s="1"/>
  <c r="I119" i="3"/>
  <c r="N119" i="3" s="1"/>
  <c r="I133" i="3"/>
  <c r="N133" i="3" s="1"/>
  <c r="N141" i="3"/>
  <c r="N145" i="3"/>
  <c r="N45" i="3"/>
  <c r="N90" i="3"/>
  <c r="N24" i="3"/>
  <c r="N30" i="3"/>
  <c r="I41" i="3"/>
  <c r="N41" i="3" s="1"/>
  <c r="N50" i="3"/>
  <c r="I73" i="3"/>
  <c r="N73" i="3" s="1"/>
  <c r="N142" i="3"/>
  <c r="I69" i="3"/>
  <c r="N69" i="3" s="1"/>
  <c r="I78" i="3"/>
  <c r="N78" i="3" s="1"/>
  <c r="I135" i="3"/>
  <c r="N135" i="3" s="1"/>
  <c r="L33" i="3"/>
  <c r="K33" i="3" s="1"/>
  <c r="L45" i="3"/>
  <c r="K45" i="3" s="1"/>
  <c r="L53" i="3"/>
  <c r="K53" i="3" s="1"/>
  <c r="I56" i="3"/>
  <c r="N56" i="3" s="1"/>
  <c r="L61" i="3"/>
  <c r="K61" i="3" s="1"/>
  <c r="N64" i="3"/>
  <c r="I43" i="3"/>
  <c r="N43" i="3" s="1"/>
  <c r="I51" i="3"/>
  <c r="N51" i="3" s="1"/>
  <c r="I84" i="3"/>
  <c r="N84" i="3" s="1"/>
  <c r="L90" i="3"/>
  <c r="K90" i="3" s="1"/>
  <c r="L121" i="3"/>
  <c r="K121" i="3" s="1"/>
  <c r="N139" i="3"/>
  <c r="I34" i="3"/>
  <c r="L37" i="3"/>
  <c r="K37" i="3" s="1"/>
  <c r="I129" i="3"/>
  <c r="N129" i="3" s="1"/>
  <c r="N143" i="3"/>
  <c r="I49" i="3"/>
  <c r="I109" i="3"/>
  <c r="N109" i="3" s="1"/>
  <c r="N153" i="3"/>
  <c r="I32" i="3"/>
  <c r="L35" i="3"/>
  <c r="K35" i="3" s="1"/>
  <c r="I39" i="3"/>
  <c r="N39" i="3" s="1"/>
  <c r="I47" i="3"/>
  <c r="N47" i="3" s="1"/>
  <c r="I55" i="3"/>
  <c r="N55" i="3" s="1"/>
  <c r="I63" i="3"/>
  <c r="N63" i="3" s="1"/>
  <c r="I71" i="3"/>
  <c r="N71" i="3" s="1"/>
  <c r="I96" i="3"/>
  <c r="I127" i="3"/>
  <c r="N15" i="3"/>
  <c r="I36" i="3"/>
  <c r="N36" i="3" s="1"/>
  <c r="I67" i="3"/>
  <c r="N67" i="3" s="1"/>
  <c r="N76" i="3"/>
  <c r="N131" i="3"/>
  <c r="J155" i="3"/>
  <c r="I75" i="3"/>
  <c r="N75" i="3" s="1"/>
  <c r="I77" i="3"/>
  <c r="N77" i="3" s="1"/>
  <c r="I79" i="3"/>
  <c r="N79" i="3" s="1"/>
  <c r="I81" i="3"/>
  <c r="N81" i="3" s="1"/>
  <c r="I83" i="3"/>
  <c r="N83" i="3" s="1"/>
  <c r="I85" i="3"/>
  <c r="N85" i="3" s="1"/>
  <c r="I87" i="3"/>
  <c r="N87" i="3" s="1"/>
  <c r="I89" i="3"/>
  <c r="I91" i="3"/>
  <c r="N91" i="3" s="1"/>
  <c r="I93" i="3"/>
  <c r="N93" i="3" s="1"/>
  <c r="I95" i="3"/>
  <c r="I97" i="3"/>
  <c r="N97" i="3" s="1"/>
  <c r="I99" i="3"/>
  <c r="N99" i="3" s="1"/>
  <c r="I101" i="3"/>
  <c r="I103" i="3"/>
  <c r="I105" i="3"/>
  <c r="N105" i="3" s="1"/>
  <c r="I107" i="3"/>
  <c r="N107" i="3" s="1"/>
  <c r="L26" i="3"/>
  <c r="K26" i="3" s="1"/>
  <c r="L22" i="3"/>
  <c r="K22" i="3" s="1"/>
  <c r="L28" i="3"/>
  <c r="K28" i="3" s="1"/>
  <c r="L30" i="3"/>
  <c r="K30" i="3" s="1"/>
  <c r="I23" i="3"/>
  <c r="N23" i="3" s="1"/>
  <c r="I25" i="3"/>
  <c r="N25" i="3" s="1"/>
  <c r="I27" i="3"/>
  <c r="N27" i="3" s="1"/>
  <c r="I29" i="3"/>
  <c r="I31" i="3"/>
  <c r="H31" i="3" s="1"/>
  <c r="G31" i="3" s="1"/>
  <c r="L24" i="3"/>
  <c r="K24" i="3" s="1"/>
  <c r="I110" i="3"/>
  <c r="N110" i="3" s="1"/>
  <c r="I112" i="3"/>
  <c r="I114" i="3"/>
  <c r="N114" i="3" s="1"/>
  <c r="I116" i="3"/>
  <c r="N116" i="3" s="1"/>
  <c r="I118" i="3"/>
  <c r="N118" i="3" s="1"/>
  <c r="I120" i="3"/>
  <c r="N120" i="3" s="1"/>
  <c r="I122" i="3"/>
  <c r="I124" i="3"/>
  <c r="I126" i="3"/>
  <c r="I128" i="3"/>
  <c r="I130" i="3"/>
  <c r="I132" i="3"/>
  <c r="N132" i="3" s="1"/>
  <c r="I134" i="3"/>
  <c r="N134" i="3" s="1"/>
  <c r="I136" i="3"/>
  <c r="I138" i="3"/>
  <c r="N138" i="3" s="1"/>
  <c r="I17" i="3"/>
  <c r="N17" i="3" s="1"/>
  <c r="I66" i="3"/>
  <c r="N66" i="3" s="1"/>
  <c r="I68" i="3"/>
  <c r="N68" i="3" s="1"/>
  <c r="I70" i="3"/>
  <c r="N70" i="3" s="1"/>
  <c r="I72" i="3"/>
  <c r="N72" i="3" s="1"/>
  <c r="L91" i="3" l="1"/>
  <c r="K91" i="3" s="1"/>
  <c r="L31" i="3"/>
  <c r="K31" i="3" s="1"/>
  <c r="H32" i="3"/>
  <c r="H34" i="3"/>
  <c r="K38" i="3"/>
  <c r="H89" i="3"/>
  <c r="H112" i="3"/>
  <c r="H127" i="3"/>
  <c r="H96" i="3"/>
  <c r="H125" i="3"/>
  <c r="H94" i="3"/>
  <c r="H49" i="3"/>
  <c r="H104" i="3"/>
  <c r="H130" i="3"/>
  <c r="H101" i="3"/>
  <c r="H128" i="3"/>
  <c r="H29" i="3"/>
  <c r="H115" i="3"/>
  <c r="H136" i="3"/>
  <c r="H103" i="3"/>
  <c r="H126" i="3"/>
  <c r="H124" i="3"/>
  <c r="H95" i="3"/>
  <c r="H122" i="3"/>
  <c r="H102" i="3"/>
  <c r="I155" i="3"/>
  <c r="C9" i="3" s="1"/>
  <c r="E14" i="1" s="1"/>
  <c r="G32" i="3" l="1"/>
  <c r="N32" i="3" s="1"/>
  <c r="L32" i="3"/>
  <c r="K32" i="3" s="1"/>
  <c r="G34" i="3"/>
  <c r="N34" i="3" s="1"/>
  <c r="L34" i="3"/>
  <c r="K34" i="3" s="1"/>
  <c r="G122" i="3"/>
  <c r="N122" i="3" s="1"/>
  <c r="L122" i="3"/>
  <c r="K122" i="3" s="1"/>
  <c r="G89" i="3"/>
  <c r="N89" i="3" s="1"/>
  <c r="L89" i="3"/>
  <c r="K89" i="3" s="1"/>
  <c r="G29" i="3"/>
  <c r="L29" i="3"/>
  <c r="H155" i="3"/>
  <c r="G115" i="3"/>
  <c r="N115" i="3" s="1"/>
  <c r="L115" i="3"/>
  <c r="K115" i="3" s="1"/>
  <c r="G95" i="3"/>
  <c r="N95" i="3" s="1"/>
  <c r="L95" i="3"/>
  <c r="K95" i="3" s="1"/>
  <c r="G94" i="3"/>
  <c r="N94" i="3" s="1"/>
  <c r="L94" i="3"/>
  <c r="K94" i="3" s="1"/>
  <c r="G124" i="3"/>
  <c r="N124" i="3" s="1"/>
  <c r="L124" i="3"/>
  <c r="K124" i="3" s="1"/>
  <c r="G128" i="3"/>
  <c r="N128" i="3" s="1"/>
  <c r="L128" i="3"/>
  <c r="K128" i="3" s="1"/>
  <c r="G125" i="3"/>
  <c r="N125" i="3" s="1"/>
  <c r="L125" i="3"/>
  <c r="K125" i="3" s="1"/>
  <c r="G49" i="3"/>
  <c r="N49" i="3" s="1"/>
  <c r="L49" i="3"/>
  <c r="K49" i="3" s="1"/>
  <c r="G126" i="3"/>
  <c r="N126" i="3" s="1"/>
  <c r="L126" i="3"/>
  <c r="K126" i="3" s="1"/>
  <c r="G101" i="3"/>
  <c r="N101" i="3" s="1"/>
  <c r="L101" i="3"/>
  <c r="K101" i="3" s="1"/>
  <c r="G96" i="3"/>
  <c r="N96" i="3" s="1"/>
  <c r="L96" i="3"/>
  <c r="K96" i="3" s="1"/>
  <c r="G103" i="3"/>
  <c r="N103" i="3" s="1"/>
  <c r="L103" i="3"/>
  <c r="K103" i="3" s="1"/>
  <c r="G130" i="3"/>
  <c r="N130" i="3" s="1"/>
  <c r="L130" i="3"/>
  <c r="K130" i="3" s="1"/>
  <c r="G127" i="3"/>
  <c r="N127" i="3" s="1"/>
  <c r="L127" i="3"/>
  <c r="K127" i="3" s="1"/>
  <c r="G102" i="3"/>
  <c r="N102" i="3" s="1"/>
  <c r="L102" i="3"/>
  <c r="K102" i="3" s="1"/>
  <c r="G136" i="3"/>
  <c r="N136" i="3" s="1"/>
  <c r="L136" i="3"/>
  <c r="K136" i="3" s="1"/>
  <c r="G104" i="3"/>
  <c r="N104" i="3" s="1"/>
  <c r="L104" i="3"/>
  <c r="K104" i="3" s="1"/>
  <c r="G112" i="3"/>
  <c r="N112" i="3" s="1"/>
  <c r="L112" i="3"/>
  <c r="K112" i="3" s="1"/>
  <c r="K29" i="3" l="1"/>
  <c r="K155" i="3" s="1"/>
  <c r="L155" i="3"/>
  <c r="G155" i="3"/>
  <c r="C8" i="3" s="1"/>
  <c r="N29" i="3"/>
  <c r="C10" i="3" l="1"/>
  <c r="J23" i="1" l="1"/>
  <c r="C10" i="10" l="1"/>
  <c r="C11" i="10"/>
  <c r="V40" i="1"/>
  <c r="T27" i="1"/>
  <c r="V27" i="1" s="1"/>
  <c r="R28" i="1"/>
  <c r="T28" i="1" s="1"/>
  <c r="U15" i="1"/>
  <c r="V15" i="1" s="1"/>
  <c r="M16" i="1" l="1"/>
  <c r="K16" i="1"/>
  <c r="O30" i="1"/>
  <c r="O29" i="1"/>
  <c r="M30" i="1"/>
  <c r="M29" i="1"/>
  <c r="L14" i="13"/>
  <c r="K14" i="13"/>
  <c r="J14" i="1" l="1"/>
  <c r="S14" i="1" l="1"/>
  <c r="V14" i="1" s="1"/>
  <c r="K38" i="1"/>
  <c r="V38" i="1" s="1"/>
  <c r="E17" i="1" l="1"/>
  <c r="C11" i="23" l="1"/>
  <c r="C9" i="23"/>
  <c r="C8" i="23" l="1"/>
  <c r="C10" i="23"/>
  <c r="F17" i="8" l="1"/>
  <c r="C7" i="8" s="1"/>
  <c r="E28" i="1" s="1"/>
  <c r="U15" i="14"/>
  <c r="O15" i="14"/>
  <c r="K15" i="14"/>
  <c r="J15" i="14"/>
  <c r="I15" i="14"/>
  <c r="H15" i="14"/>
  <c r="P13" i="14"/>
  <c r="N13" i="14"/>
  <c r="M13" i="14"/>
  <c r="M15" i="14" s="1"/>
  <c r="G13" i="14"/>
  <c r="N15" i="14" l="1"/>
  <c r="N34" i="1"/>
  <c r="P15" i="14"/>
  <c r="N35" i="1"/>
  <c r="G15" i="14"/>
  <c r="C7" i="14" s="1"/>
  <c r="L13" i="14"/>
  <c r="R13" i="14"/>
  <c r="R15" i="14" s="1"/>
  <c r="C9" i="14" l="1"/>
  <c r="W13" i="14"/>
  <c r="X13" i="14" s="1"/>
  <c r="L15" i="14"/>
  <c r="C8" i="14" s="1"/>
  <c r="C10" i="14" s="1"/>
  <c r="Q13" i="14"/>
  <c r="Q15" i="14" s="1"/>
  <c r="I16" i="13" l="1"/>
  <c r="H16" i="13"/>
  <c r="L16" i="13"/>
  <c r="K16" i="13"/>
  <c r="G14" i="13"/>
  <c r="G16" i="13" s="1"/>
  <c r="D8" i="13" s="1"/>
  <c r="O14" i="13" l="1"/>
  <c r="O16" i="13" s="1"/>
  <c r="R14" i="13"/>
  <c r="J14" i="13"/>
  <c r="N14" i="13"/>
  <c r="N16" i="13" l="1"/>
  <c r="M14" i="13"/>
  <c r="M16" i="13" s="1"/>
  <c r="D10" i="13" s="1"/>
  <c r="J16" i="13"/>
  <c r="D9" i="13" s="1"/>
  <c r="Q14" i="13"/>
  <c r="C9" i="27" l="1"/>
  <c r="D24" i="1" l="1"/>
  <c r="E24" i="1" s="1"/>
  <c r="F24" i="1"/>
  <c r="J24" i="1" s="1"/>
  <c r="S24" i="1" s="1"/>
  <c r="V23" i="1"/>
  <c r="C11" i="27"/>
  <c r="V24" i="1" l="1"/>
  <c r="C10" i="27"/>
  <c r="J25" i="1" s="1"/>
  <c r="V25" i="1" s="1"/>
  <c r="H18" i="12" l="1"/>
  <c r="H19" i="12"/>
  <c r="H20" i="12"/>
  <c r="H21" i="12"/>
  <c r="H22" i="12"/>
  <c r="H23" i="12"/>
  <c r="H17" i="12"/>
  <c r="F25" i="12"/>
  <c r="C10" i="12" s="1"/>
  <c r="E16" i="1" s="1"/>
  <c r="G14" i="8" l="1"/>
  <c r="G17" i="8" l="1"/>
  <c r="C8" i="8" s="1"/>
  <c r="C9" i="8" s="1"/>
  <c r="F28" i="1"/>
  <c r="S28" i="1" s="1"/>
  <c r="V28" i="1" s="1"/>
  <c r="I17" i="5"/>
  <c r="C8" i="5" s="1"/>
  <c r="J14" i="8" l="1"/>
  <c r="H14" i="8"/>
  <c r="H17" i="8" s="1"/>
  <c r="C12" i="10" l="1"/>
  <c r="J36" i="1" l="1"/>
  <c r="U36" i="1" l="1"/>
  <c r="V36" i="1" s="1"/>
  <c r="J18" i="12"/>
  <c r="K18" i="12" s="1"/>
  <c r="H16" i="12" l="1"/>
  <c r="H25" i="12" s="1"/>
  <c r="C12" i="12" s="1"/>
  <c r="J19" i="12"/>
  <c r="K19" i="12" s="1"/>
  <c r="J22" i="12"/>
  <c r="K22" i="12" s="1"/>
  <c r="J23" i="12"/>
  <c r="K23" i="12" s="1"/>
  <c r="J17" i="12"/>
  <c r="K17" i="12" s="1"/>
  <c r="J21" i="12"/>
  <c r="K21" i="12" s="1"/>
  <c r="J16" i="12"/>
  <c r="K16" i="12" s="1"/>
  <c r="J20" i="12"/>
  <c r="K20" i="12" s="1"/>
  <c r="G25" i="12"/>
  <c r="C11" i="12" s="1"/>
  <c r="U16" i="1" l="1"/>
  <c r="V16" i="1" s="1"/>
  <c r="J31" i="1"/>
  <c r="S31" i="1" s="1"/>
  <c r="V31" i="1" s="1"/>
  <c r="J38" i="1" l="1"/>
  <c r="U38" i="1" s="1"/>
  <c r="J34" i="1" l="1"/>
  <c r="U34" i="1" s="1"/>
  <c r="V34" i="1" s="1"/>
  <c r="Q41" i="1" l="1"/>
  <c r="H41" i="1" l="1"/>
  <c r="E41" i="1" l="1"/>
  <c r="D26" i="1"/>
  <c r="G15" i="7" l="1"/>
  <c r="G16" i="7"/>
  <c r="H16" i="7" s="1"/>
  <c r="G17" i="7"/>
  <c r="J17" i="7" s="1"/>
  <c r="G18" i="7"/>
  <c r="H18" i="7" s="1"/>
  <c r="F21" i="7"/>
  <c r="C9" i="7" s="1"/>
  <c r="J15" i="7" l="1"/>
  <c r="G21" i="7"/>
  <c r="C10" i="7" s="1"/>
  <c r="C11" i="7" s="1"/>
  <c r="J16" i="7"/>
  <c r="H15" i="7"/>
  <c r="H17" i="7"/>
  <c r="H21" i="7" l="1"/>
  <c r="J29" i="1" l="1"/>
  <c r="U29" i="1" s="1"/>
  <c r="V29" i="1" s="1"/>
  <c r="J26" i="1" l="1"/>
  <c r="S26" i="1" s="1"/>
  <c r="V26" i="1" s="1"/>
  <c r="J27" i="1" l="1"/>
  <c r="J30" i="1" l="1"/>
  <c r="U30" i="1" s="1"/>
  <c r="V30" i="1" s="1"/>
  <c r="H17" i="5" l="1"/>
  <c r="J14" i="5"/>
  <c r="L14" i="5" s="1"/>
  <c r="K14" i="5" s="1"/>
  <c r="G14" i="5"/>
  <c r="N14" i="5" s="1"/>
  <c r="J13" i="5"/>
  <c r="G13" i="5"/>
  <c r="N13" i="5" l="1"/>
  <c r="N16" i="5"/>
  <c r="J17" i="5"/>
  <c r="L13" i="5"/>
  <c r="L17" i="5" s="1"/>
  <c r="G17" i="5"/>
  <c r="K13" i="5" l="1"/>
  <c r="K17" i="5" s="1"/>
  <c r="F18" i="1"/>
  <c r="F41" i="1" s="1"/>
  <c r="C7" i="5"/>
  <c r="C9" i="5" s="1"/>
  <c r="I41" i="1"/>
  <c r="G41" i="1"/>
  <c r="J39" i="1"/>
  <c r="J37" i="1"/>
  <c r="U37" i="1" s="1"/>
  <c r="V37" i="1" s="1"/>
  <c r="J35" i="1"/>
  <c r="U35" i="1" s="1"/>
  <c r="V35" i="1" s="1"/>
  <c r="J33" i="1"/>
  <c r="J32" i="1"/>
  <c r="S32" i="1" s="1"/>
  <c r="V32" i="1" s="1"/>
  <c r="J19" i="1"/>
  <c r="J21" i="1"/>
  <c r="J20" i="1"/>
  <c r="J17" i="1"/>
  <c r="V17" i="1" s="1"/>
  <c r="J16" i="1"/>
  <c r="J15" i="1"/>
  <c r="P41" i="1"/>
  <c r="U33" i="1" l="1"/>
  <c r="S33" i="1"/>
  <c r="U39" i="1"/>
  <c r="S39" i="1"/>
  <c r="R19" i="1"/>
  <c r="T19" i="1" s="1"/>
  <c r="R21" i="1"/>
  <c r="T21" i="1" s="1"/>
  <c r="V21" i="1" s="1"/>
  <c r="R20" i="1"/>
  <c r="T20" i="1" s="1"/>
  <c r="V20" i="1" s="1"/>
  <c r="D41" i="1"/>
  <c r="V33" i="1" l="1"/>
  <c r="V39" i="1"/>
  <c r="V19" i="1"/>
  <c r="T41" i="1"/>
  <c r="R41" i="1"/>
  <c r="M41" i="1"/>
  <c r="L41" i="1"/>
  <c r="K41" i="1"/>
  <c r="J28" i="1" l="1"/>
  <c r="J18" i="1"/>
  <c r="S18" i="1" s="1"/>
  <c r="V18" i="1" s="1"/>
  <c r="S41" i="1" l="1"/>
  <c r="V41" i="1"/>
  <c r="J41" i="1"/>
  <c r="J46" i="1" s="1"/>
  <c r="O41" i="1" l="1"/>
  <c r="N41" i="1"/>
  <c r="U41" i="1" l="1"/>
</calcChain>
</file>

<file path=xl/comments1.xml><?xml version="1.0" encoding="utf-8"?>
<comments xmlns="http://schemas.openxmlformats.org/spreadsheetml/2006/main">
  <authors>
    <author>Maricela Aranda Lopez</author>
  </authors>
  <commentList>
    <comment ref="J17" authorId="0" shapeId="0">
      <text>
        <r>
          <rPr>
            <b/>
            <sz val="9"/>
            <color indexed="81"/>
            <rFont val="Tahoma"/>
            <family val="2"/>
          </rPr>
          <t>Maricela Aranda Lopez:</t>
        </r>
        <r>
          <rPr>
            <sz val="9"/>
            <color indexed="81"/>
            <rFont val="Tahoma"/>
            <family val="2"/>
          </rPr>
          <t xml:space="preserve">
incluyen los cuartos adiciones  39309010.41
</t>
        </r>
      </text>
    </comment>
  </commentList>
</comments>
</file>

<file path=xl/sharedStrings.xml><?xml version="1.0" encoding="utf-8"?>
<sst xmlns="http://schemas.openxmlformats.org/spreadsheetml/2006/main" count="3247" uniqueCount="1332">
  <si>
    <t>1501-1511</t>
  </si>
  <si>
    <t>1101-1321</t>
  </si>
  <si>
    <t>FF</t>
  </si>
  <si>
    <t>PRESUPUESTO</t>
  </si>
  <si>
    <t>APROBADO</t>
  </si>
  <si>
    <t>DEVENGADO</t>
  </si>
  <si>
    <t>OBRA PÚBLICA</t>
  </si>
  <si>
    <t>CUADRO RESUMEN</t>
  </si>
  <si>
    <t>DIRECTOR DE EGRESOS</t>
  </si>
  <si>
    <t>PROGRAMA</t>
  </si>
  <si>
    <t>PDM</t>
  </si>
  <si>
    <t>FONDO RESARCITORIO</t>
  </si>
  <si>
    <t>FOREMOBA</t>
  </si>
  <si>
    <t>SALDO</t>
  </si>
  <si>
    <t xml:space="preserve"> Autorizado</t>
  </si>
  <si>
    <t>Devengado</t>
  </si>
  <si>
    <t>Saldo</t>
  </si>
  <si>
    <t>Depend. Ejecutora</t>
  </si>
  <si>
    <t>Fecha Autor.</t>
  </si>
  <si>
    <t>Oficio de autorización</t>
  </si>
  <si>
    <t>Programa</t>
  </si>
  <si>
    <t>Número de Obra</t>
  </si>
  <si>
    <t>Descripción de obra</t>
  </si>
  <si>
    <t>Total</t>
  </si>
  <si>
    <t>Municipal</t>
  </si>
  <si>
    <t>Modalidad  Ejecución</t>
  </si>
  <si>
    <t>Avance Financiero</t>
  </si>
  <si>
    <t>Avance Físico</t>
  </si>
  <si>
    <t>Metas                                                      U.M.         Cantidad</t>
  </si>
  <si>
    <t>Beneficiarios</t>
  </si>
  <si>
    <t>Modalidad Adjudicación</t>
  </si>
  <si>
    <t>Contratista</t>
  </si>
  <si>
    <t>No. De Contrato</t>
  </si>
  <si>
    <t>OPM</t>
  </si>
  <si>
    <t>1</t>
  </si>
  <si>
    <t>Apoyos Comunitarios. / Todo el Municipio de Aguascalientes.</t>
  </si>
  <si>
    <t>AD</t>
  </si>
  <si>
    <t>OBRA</t>
  </si>
  <si>
    <t>_______</t>
  </si>
  <si>
    <t>______</t>
  </si>
  <si>
    <t>2</t>
  </si>
  <si>
    <t>Mantenimiento y Adecuación de Infraestructura Municipal./ Todo el Municipio de Aguascalientes.</t>
  </si>
  <si>
    <t>3</t>
  </si>
  <si>
    <t>Atención Ciudadana y Miércoles Ciudadano./ Todo el Municipio de Aguascalientes.</t>
  </si>
  <si>
    <t>4</t>
  </si>
  <si>
    <t>Revive y Pintura en Fachadas./ Todo el Municipio de Aguascalientes.</t>
  </si>
  <si>
    <t>5</t>
  </si>
  <si>
    <t>Tiraderos de Escombro./ Todo el Municipio de Aguascalientes.</t>
  </si>
  <si>
    <t>6</t>
  </si>
  <si>
    <t>Rehabilitación de Espacios Educativos./ Todo el Municipio de Aguascalientes.</t>
  </si>
  <si>
    <t>8</t>
  </si>
  <si>
    <t>Pintura en Vialidades, Nomenclaturas y Dignificación de Pasos a Desnivel./ Todo el Municipio de Aguascalientes.</t>
  </si>
  <si>
    <t>9</t>
  </si>
  <si>
    <t>Movimiento de Tierras, Obras Complementarias y Limpieza de Cauces./ Todo el Municipio de Aguascalientes.</t>
  </si>
  <si>
    <t>2017/2018-PDM-0011-006-DM-01-007</t>
  </si>
  <si>
    <t>11</t>
  </si>
  <si>
    <t>Estudios, Proyectos y Peritos./ Aguascalientes.</t>
  </si>
  <si>
    <t>C</t>
  </si>
  <si>
    <t>2017/2018-PDM-0203-002-EA-01-003</t>
  </si>
  <si>
    <t>203</t>
  </si>
  <si>
    <t>Iluminación de Puente Bicentenario Etapa 2. / Intersección de Av. Aguascalientes Sur y Blvd. José Ma. Chávez, Aguascalientes Mpio.</t>
  </si>
  <si>
    <t>226</t>
  </si>
  <si>
    <t>Ciclovia Av. Tecnológico./ Tramo entre Av. Alameda y Av. Aguascalientes.</t>
  </si>
  <si>
    <t>M2</t>
  </si>
  <si>
    <t>CONVOCATORIA PUBLICA ESTATAL</t>
  </si>
  <si>
    <t>GRUPO RESIDENCIAL MAUSA, S.A. DE C.V.</t>
  </si>
  <si>
    <t>DM-0226-2017</t>
  </si>
  <si>
    <t>2017/2018-PDM-0232-002-DM-05-020</t>
  </si>
  <si>
    <t>232</t>
  </si>
  <si>
    <t>Área de Naves (cubierta), Instalaciones./ Hangar Municipal, C. Carolina Villanueva de García, Ciudad Industrial</t>
  </si>
  <si>
    <t>DIRECTA ESTATAL</t>
  </si>
  <si>
    <t>RODOLFO EDGARDO ROBLEDO CARRILLO</t>
  </si>
  <si>
    <t>DM-0232-2017</t>
  </si>
  <si>
    <t>2017/2018-PDM-0233-002-DM-05-021</t>
  </si>
  <si>
    <t>233</t>
  </si>
  <si>
    <t>Área de Naves (cubierta), Obra Civil./ Hangar Municipal, C. Carolina Villanueva de García, Ciudad Industrial</t>
  </si>
  <si>
    <t>INVITACION RESTRINGIDA ESTATAL</t>
  </si>
  <si>
    <t>MAZA INFRAESTRUCTURA, S.A. DE C.V.</t>
  </si>
  <si>
    <t>DM-0233-2017</t>
  </si>
  <si>
    <t>234</t>
  </si>
  <si>
    <t>Rehabilitación de Oficinas en Palacio Muncipal./ Plaza de la Patria s/n Palacio Municipal, Centro Zona</t>
  </si>
  <si>
    <t>235</t>
  </si>
  <si>
    <t>Rehabilitacion de Salón de Cabildo; Acabados./ Presidencia Municipal, Centro Zona</t>
  </si>
  <si>
    <t>236</t>
  </si>
  <si>
    <t>Rehabilitación de Salón Cabildo; Instalaciones. / Presidencia Municipal, Centro Zona.</t>
  </si>
  <si>
    <t>237</t>
  </si>
  <si>
    <t>Rehabilitación de Salón Cabildo; Equipamiento. / Presidencia Municipal, Centro Zona.</t>
  </si>
  <si>
    <t>238</t>
  </si>
  <si>
    <t>Construcción de Parque Urbano./ C. El Zarco S/N, Municipio Libre Fracc.</t>
  </si>
  <si>
    <t>T O T A L E S</t>
  </si>
  <si>
    <t xml:space="preserve"> </t>
  </si>
  <si>
    <t>“Este Programa es público, ajeno a cualquier partido pólitico. Queda prohibido el uso para fines distintos a los establecidos en el programa”.</t>
  </si>
  <si>
    <t>PTTO. ASIGNADO</t>
  </si>
  <si>
    <t>Prog.</t>
  </si>
  <si>
    <t>Núm. Obra</t>
  </si>
  <si>
    <t>Federal</t>
  </si>
  <si>
    <t>Av. Financiero</t>
  </si>
  <si>
    <t>Av. Físico</t>
  </si>
  <si>
    <t>Modelo de Adjudicación</t>
  </si>
  <si>
    <t>SOPMA</t>
  </si>
  <si>
    <t>OP</t>
  </si>
  <si>
    <t>04</t>
  </si>
  <si>
    <t>228</t>
  </si>
  <si>
    <t>Construcción de Pavimento Asfáltico, Av- Aguascalientes Sur de Heróe de Nacozari a Mariano Escobedo</t>
  </si>
  <si>
    <t>CONTRATO</t>
  </si>
  <si>
    <t>550000</t>
  </si>
  <si>
    <t>CONSTRUCCIONES R2CYC S.A. DE C.V.</t>
  </si>
  <si>
    <t>2017/2018-PRORE-0228</t>
  </si>
  <si>
    <t>229</t>
  </si>
  <si>
    <t>2017/2018-PRORE-0229</t>
  </si>
  <si>
    <t>230</t>
  </si>
  <si>
    <t>Sustitución de Sistema de alumbrado público en la Delegación Jesús Terán</t>
  </si>
  <si>
    <t>DELECTRIC, S.A. DE C.V.</t>
  </si>
  <si>
    <t>2017/2018-PRORE-0230</t>
  </si>
  <si>
    <t>PTTO ASIGNADO</t>
  </si>
  <si>
    <t>Federal 2017-2018</t>
  </si>
  <si>
    <t>207</t>
  </si>
  <si>
    <t>300000</t>
  </si>
  <si>
    <t>INVITACION RESTRINGIDA</t>
  </si>
  <si>
    <t>LM4 POZOS Y CONSTRUCCION, S.A. DE C.V.</t>
  </si>
  <si>
    <t>239</t>
  </si>
  <si>
    <t>Guarniciones y Banquetas Col. La Antorcha./ Col. La Antorcha</t>
  </si>
  <si>
    <t>2000</t>
  </si>
  <si>
    <t>CONSORCIO INDUSTRIAL AIRE, S.A. DE C.V.</t>
  </si>
  <si>
    <t>DEPARTAMENTO DE CONTROL PRESUPUESTAL DE LA OBRA PUBLICA Y PROGRAMAS FEDERALES                                                                                                                                                                                                                                                                                                                                                                                                                         RAMO 23 FORTALECIMIENTO FINANCIERO  "C "  2017-2018</t>
  </si>
  <si>
    <t>Gastos Indirestos (Construcción de Pavimento Asfáltico, Av- Aguascalientes Sur de José  Ma. Chávez a Heróe de Nacozari)</t>
  </si>
  <si>
    <t>ASIGNADO</t>
  </si>
  <si>
    <t>UR</t>
  </si>
  <si>
    <t>13</t>
  </si>
  <si>
    <t>Construcción de sobrecarpeta Asfáltica Calle Francisco I. Madero Tramo: Entre Héroe de Nacozari y Gral. Ignacio Zaragoza/ Centro Zona.</t>
  </si>
  <si>
    <t>14</t>
  </si>
  <si>
    <t>Construcción de sobrecarpeta Asfáltica Calle Hornedo Tramo: Entre Calle Cristóbal Colón y Poder Legislativo/ Centro Zona.</t>
  </si>
  <si>
    <t>15</t>
  </si>
  <si>
    <t>Construcción de sobrecarpeta Asfáltica C. Juan de Montoro Tramo: Entre Ezequiel A. Chavez y Dr. Jesús Díaz de León/ Centro Zona.</t>
  </si>
  <si>
    <t>16</t>
  </si>
  <si>
    <t>17</t>
  </si>
  <si>
    <t>Construcción de sobrecarpeta Asfáltica Av. Convención de 1914 Poniente, Calzada Poniente Tramo: Entre Calle Guadalupe y Av. Fundición/ Aguascalientes Mpio.</t>
  </si>
  <si>
    <t>DM</t>
  </si>
  <si>
    <t>18</t>
  </si>
  <si>
    <t>Estudios, Proyectos y Peritos./ Todo el Municipio de Aguascalientes, Aguascalientes Mpio.</t>
  </si>
  <si>
    <t>19</t>
  </si>
  <si>
    <t>20</t>
  </si>
  <si>
    <t>Mantenimiento y Adecuación de Infraestructura Municipal./ Aguascalientes Mpio.</t>
  </si>
  <si>
    <t>21</t>
  </si>
  <si>
    <t>Atención Ciudadana y Miércoles Ciudadano./ Aguascalientes Mpio.</t>
  </si>
  <si>
    <t>22</t>
  </si>
  <si>
    <t>Rescatando Nuestra Arquitectura./ Todo el Municipio de Aguascalientes.</t>
  </si>
  <si>
    <t>23</t>
  </si>
  <si>
    <t>Tiraderos de Escombro./ Aguascalientes Mpio.</t>
  </si>
  <si>
    <t>IE</t>
  </si>
  <si>
    <t>24</t>
  </si>
  <si>
    <t>25</t>
  </si>
  <si>
    <t>Rehabilitación y Mantenimiento de Vialidades./ Todo el Municipio de Aguascalientes.</t>
  </si>
  <si>
    <t>26</t>
  </si>
  <si>
    <t>27</t>
  </si>
  <si>
    <t>Movimiento de Tierras y Obra Complementaria./ Todo el Municipio de Aguascalientes.</t>
  </si>
  <si>
    <t>SSP</t>
  </si>
  <si>
    <t>28</t>
  </si>
  <si>
    <t>29</t>
  </si>
  <si>
    <t>Construcción de Sobrecarpeta Asfáltica, Av. Revolución (Alameda), Tramo 1: Entre Av. Tecnológico y Calle 20 de Noviembre./ Aguascalientes Mpio.</t>
  </si>
  <si>
    <t>30</t>
  </si>
  <si>
    <t>Construcción de Sobrecarpeta Asfáltica, Av. Revolución (Alameda), Tramo 2: Entre Calle 20 de Noviembre y Av. Aguascalientes/ Aguascalientes Mpio.</t>
  </si>
  <si>
    <t>31</t>
  </si>
  <si>
    <t>Construcción de Sobrecarpeta Asfaltica, Av. Revolución (Alameda), Tramo 3: Entre Calle Tanque de los Jiménez y Av. Siglo XXI./ Aguascalientes Mpio.</t>
  </si>
  <si>
    <t>32</t>
  </si>
  <si>
    <t>Construcción de Sobrecarpeta Asfaltica, Av. Av. Adolfo López Mateos (Calzada Sur) Tramo: Entre Av. De la Convención Ote. Y Calle 18 de Septiembre de 1967/ Aguascalientes Mpio.</t>
  </si>
  <si>
    <t>33</t>
  </si>
  <si>
    <t>Rehabilitación de Camellón Central Av. Mariano Hidalgo Tramo: Entre Av. Aguascalientes y Blvd. Siglo XXI./ Aguascalientes Mpio.</t>
  </si>
  <si>
    <t>34</t>
  </si>
  <si>
    <t>Rehabilitación de Camellón Central Av. Prol. Paseo de la Asunción Tramo: Entre Calle Lauro Aguirre y Blvd. Siglo XXI./ Aguascalientes Mpio.</t>
  </si>
  <si>
    <t>35</t>
  </si>
  <si>
    <t>Rehabilitación de Camellón Central Av. Gral. José Isabel Robles Tramo: Entre Blvd. Siglo XXI y Calle Doroteo Arango./ Aguascalientes Mpio.</t>
  </si>
  <si>
    <t>78</t>
  </si>
  <si>
    <t>Mantenimiento y Mejoramiento de Areas Verdes en Camellones, Parques y Predios Municipales./ Varios Puntos de la Ciudad de Aguascalientes.</t>
  </si>
  <si>
    <t>231-A01/A02</t>
  </si>
  <si>
    <t>ADJUDICACIÓN DIRECTA FEDERAL</t>
  </si>
  <si>
    <t>MARTINEZ RUL, JOSÉ ANTONIO, I.C./MORENO GUTIERREZ SERGIO, I.C.</t>
  </si>
  <si>
    <t>2017/2018-PRORE-0231-A01/2017/2018-PRORE-0231-A02</t>
  </si>
  <si>
    <t xml:space="preserve">RETENCIONES </t>
  </si>
  <si>
    <t>TOTAL OBRA PÚBLICA</t>
  </si>
  <si>
    <t>LIC. MARICELA ARANDA LÓPEZ</t>
  </si>
  <si>
    <t>JEFA DEL DEPTO DE CTROL PPTAL DE LA OBRA PÚBLICA Y PROGRAMS FEDERALES</t>
  </si>
  <si>
    <t xml:space="preserve">PROGRAMAS FEDERALES </t>
  </si>
  <si>
    <t>Dep Ejec</t>
  </si>
  <si>
    <t>2018-FORTAMUNDF-0001-DM-06-001</t>
  </si>
  <si>
    <t>Pago de Sueldos y Pensiones de Seguridad Pública</t>
  </si>
  <si>
    <t>_</t>
  </si>
  <si>
    <t>Lote</t>
  </si>
  <si>
    <t>FONDO DE APORTACIONES PARA EL FORTALECIMIENTO DE LOS MUNICIPIOS Y DEMARCACIONES TERRITORIALES DEL DISTRITO FEDERAL</t>
  </si>
  <si>
    <t>CONVOCATORIA PÚBLICA</t>
  </si>
  <si>
    <t>OBRA POR ADMINSITRACIÓN</t>
  </si>
  <si>
    <t>Rehabilitación y Mantenimiento de Vialidades. / Todo el Municipio de Aguascalientes.</t>
  </si>
  <si>
    <t>EA</t>
  </si>
  <si>
    <t>JUAN OLVERA NUÑEZ</t>
  </si>
  <si>
    <t>DM-0203-2017</t>
  </si>
  <si>
    <t>MIGUEL DE JESUS RODRIGUEZ LEAL GUZMAN</t>
  </si>
  <si>
    <t>DM-0235-2017</t>
  </si>
  <si>
    <t>ID</t>
  </si>
  <si>
    <t>FORTASEG</t>
  </si>
  <si>
    <t>2017-FORTAFIN-C-0207-0411-004</t>
  </si>
  <si>
    <t>2017-FORTAFIN-C-0239-0411-004</t>
  </si>
  <si>
    <t>MAGS CONSTRUCCIONES.A. DE C.V.</t>
  </si>
  <si>
    <t>DM-0013-2018</t>
  </si>
  <si>
    <t>GRUPO REALIZA, S.A. DE C.V.</t>
  </si>
  <si>
    <t>DM-0014-2018</t>
  </si>
  <si>
    <t>CAMINOS Y URBANIZACIONES DEL CENTRO, S.A. DE C.V.</t>
  </si>
  <si>
    <t>DM-0016-2018</t>
  </si>
  <si>
    <t>CORPORATIVO CONSTRUYE, S.A. DE C.V.</t>
  </si>
  <si>
    <t>DM-0017-2018</t>
  </si>
  <si>
    <t>NOLDOR CONSTRUCCIONES.A. DE C.V.</t>
  </si>
  <si>
    <t>DM-0033-2018</t>
  </si>
  <si>
    <t>EDGAR ALBERTO GOMEZ CANTU</t>
  </si>
  <si>
    <t>DM-0034-2018</t>
  </si>
  <si>
    <t>DM-0035-2018</t>
  </si>
  <si>
    <t>44</t>
  </si>
  <si>
    <t>Construcción de Sobrecarpeta Asfaltica, Calle Guadalupe Victoria Tramo: Entre Calle Larreategui y Calle Moctezuma./ Aguascalientes Mpio.</t>
  </si>
  <si>
    <t>FEDGAR CONSTRUCCIONES Y SERVICIOS, S.A. DE C.V.</t>
  </si>
  <si>
    <t>DM-0044-2018</t>
  </si>
  <si>
    <t>45</t>
  </si>
  <si>
    <t>Construcción de Sobrecarpeta Asfáltica, Blvd. Luis Donaldo Colosio Tramo: Entre Prol. Zaragoza y Blvd. Zacatecas./ Aguascalientes Mpio.</t>
  </si>
  <si>
    <t>46</t>
  </si>
  <si>
    <t>Construcción de Sobrecarpeta Asfáltica, Calle Ezequiel A. Chávez Tramo: Entre Callle Vázquez del Mercado y Calle Juan de Montoro./ Aguascalientes Mpio.</t>
  </si>
  <si>
    <t>2018-PDM-0047-UR-01-023</t>
  </si>
  <si>
    <t>47</t>
  </si>
  <si>
    <t>Construcción de Sobrecarpeta Asfáltica, Calle Jardines Eternos Tramo: Entre Entre Av. Convención de 1914 y Av. Aguascalientes./ Aguascalientes Mpio.</t>
  </si>
  <si>
    <t>52</t>
  </si>
  <si>
    <t>Construcción de Sobrecarpeta Asfaltica, Blvd. José  Ma. Chávez Tramo: Entre Av. Convención de 1914 y Av. Aguascalientes. Aguascalientes Mpio.</t>
  </si>
  <si>
    <t>2018-PDM-0053-UR-01-025</t>
  </si>
  <si>
    <t>53</t>
  </si>
  <si>
    <t xml:space="preserve">Construcción de Sobrecarpeta Asfáltica, Av. Convención de 1914 Ote. Tramo Poniente Entre av. José H. Escobedo y Calle Obrero Mundial./ Aguascalientes Mpio. </t>
  </si>
  <si>
    <t>2018-PDM-0054-UR-01-026</t>
  </si>
  <si>
    <t>54</t>
  </si>
  <si>
    <t xml:space="preserve">Construcción de Sobrecarpeta Asfáltica, Av. Convención de 1914 Ote. Tramo Oriente entre Av. José H. Escobedo y Calle Obrero Mundial./ Aguascalientes Mpio. </t>
  </si>
  <si>
    <t>55</t>
  </si>
  <si>
    <t>Construcción de Sobrecarpeta Asfáltica, Calle Juan de Montoro Tramo: Entre Calle Cosio y Calle Ezequiel A. Chávez (Calzada Norte)./ Aguascalientes Mpio.</t>
  </si>
  <si>
    <t>56</t>
  </si>
  <si>
    <t>Construcción de Sobrecarpeta Asfáltica, Av. Solidaridad Tramo: Entre Av. Convención de 1914 y Av. Manuel Gómez Morín./ Aguascalientes Mpio.</t>
  </si>
  <si>
    <t>62</t>
  </si>
  <si>
    <t>Rehabilitación de Camellón Central, Av. La Salud Tramo Entre Av. Poliducto y Paseo de la Biznaga./Aguascalientes Mpio.</t>
  </si>
  <si>
    <t>63</t>
  </si>
  <si>
    <t>Rehabilitación de Camellón Central, Av.Valle de los Romero Tramo entre Av. Siglo XXI Y Av. Federico Méndez./Aguascalientes Mpio.</t>
  </si>
  <si>
    <t>64</t>
  </si>
  <si>
    <t>Rehabilitación de Camellón Central, Av. Rodolfo Landeros Tramo Entre Av. Ojocaliente y Calle Laurel Ote./ Aguascalientes Mpio.</t>
  </si>
  <si>
    <t>65</t>
  </si>
  <si>
    <t>Construcción de Parque Valle del Campestre./ Valle del Campestre Fracc.</t>
  </si>
  <si>
    <t>67</t>
  </si>
  <si>
    <t>Rehabilitación de Parque Lomas del Sur./ Lomas del Sur Fracc.</t>
  </si>
  <si>
    <t>68</t>
  </si>
  <si>
    <t>2018-PDM-0069-UR-04-033</t>
  </si>
  <si>
    <t>69</t>
  </si>
  <si>
    <t>Regeneración la Glorieta la Purisima./ La Purisima Barrio</t>
  </si>
  <si>
    <t>70</t>
  </si>
  <si>
    <t>Regeneración la Glorieta Benito Juárez. Obra Civil./ Av. Las Américas, Av. Ayuntamiento y Av.F. Elizondo, Las Fuentes Fracc.</t>
  </si>
  <si>
    <t>71</t>
  </si>
  <si>
    <t>Regeneración la Glorieta Benito Juárez. Instalaciones./ Av. Las Américas, Av. Ayuntamiento y Av.F. Elizondo, Las Fuentes Fracc.</t>
  </si>
  <si>
    <t>72</t>
  </si>
  <si>
    <t>Rehabilitación de Rastro Municipal./ Carretera Aguascalientes-San Francisco de los Romo KM 21</t>
  </si>
  <si>
    <t>73</t>
  </si>
  <si>
    <t>Construcción Parque Villa de las Palmas; Calle Villa Alejandría, Esq. Calle Próceres de la Enseñanza, Villas de las Palmas Fracc. 2a. Secc.</t>
  </si>
  <si>
    <t>2018-PDM-0074-UR-04-036</t>
  </si>
  <si>
    <t>74</t>
  </si>
  <si>
    <t>Rehabilitación de Jardín Martínez Domínguez./ Calle Lázaro Cárdenas, Esq. Calle Mariano Miramontes.</t>
  </si>
  <si>
    <t>75</t>
  </si>
  <si>
    <t>Rehabilitación de Parque Ojocaliente IV:/ Calle San Francisco de los Romo y Calle San José de la Órdeña, Ojocaliente Fracc. 1A. Secc.</t>
  </si>
  <si>
    <t>JAIME ALEJANDRO SALAZAR ROMERO</t>
  </si>
  <si>
    <t>DM-0234-2017</t>
  </si>
  <si>
    <t>RESTINGIDA ESTATAL</t>
  </si>
  <si>
    <t>ÉXITO Y MENTE CONSTRUCCIONES, S.A. DE C.V.</t>
  </si>
  <si>
    <t>DM-0236-2017</t>
  </si>
  <si>
    <t>INGENIERIA EN INTERCOMUNICACION TELEFONIA Y SONIDO, S.A DE C.V.</t>
  </si>
  <si>
    <t>DM-0237-2017</t>
  </si>
  <si>
    <t>DM-0238-2017</t>
  </si>
  <si>
    <t>FINIQUITOS</t>
  </si>
  <si>
    <t>VARIOS</t>
  </si>
  <si>
    <t>ALMACO CONSTRUCCION Y DISEÑO, S.A. DE C.V.</t>
  </si>
  <si>
    <t>DM-0015-2018</t>
  </si>
  <si>
    <t>CONSTRUCTORA Y URBANIZADORA BONATERRA, S.A. DE C.V.</t>
  </si>
  <si>
    <t>DM-0032-2018</t>
  </si>
  <si>
    <t>SUPERVISION OBRAS Y PROYECTOS, S.A. DE C.V.</t>
  </si>
  <si>
    <t>DM-0045-2018</t>
  </si>
  <si>
    <t>FEDERICO GARCÍA DELGADO</t>
  </si>
  <si>
    <t>DM-0046-2018</t>
  </si>
  <si>
    <t>GERARDO CARRERA ESCOBAR</t>
  </si>
  <si>
    <t>DM-0062-2018</t>
  </si>
  <si>
    <t>PUNTO HABITAT, S.A. DE C.V.</t>
  </si>
  <si>
    <t>DM-0063-2018</t>
  </si>
  <si>
    <t>CONTROL DE OBRA Y CONSTRUCCIONES DE AGUASCALIENTES, S.A. DE C.V.</t>
  </si>
  <si>
    <t>DM-0068-2018</t>
  </si>
  <si>
    <t>L.V. CONSTRUCCIÓN, S.A. DE C.V.</t>
  </si>
  <si>
    <t>DM-0070-2018</t>
  </si>
  <si>
    <t>DM-0071-2018</t>
  </si>
  <si>
    <t>76</t>
  </si>
  <si>
    <t>Regeneración de Glorieta Quijote,/ Av. López Mateos Oriente, av. Nacozari Sur, La Estación Barrio.</t>
  </si>
  <si>
    <t>77</t>
  </si>
  <si>
    <t>Rehabilitación de la Imagen Urbana el Barrio del Encino, Meta 1: Fuente y Andadores Jardín del Encino, El Encino Barrio.</t>
  </si>
  <si>
    <t>79</t>
  </si>
  <si>
    <t>Rehabilitación de Camellón Central Av. Adolfo Ruíz Cortinez,/ Tramo entre Av. Blvd. Juan Pablo II y Av. Abelardo López, La Soledad Fracc.</t>
  </si>
  <si>
    <t>2018-PDM-0080-S5-03-001</t>
  </si>
  <si>
    <t>S5</t>
  </si>
  <si>
    <t>80</t>
  </si>
  <si>
    <t>Reforestación de Varios Puntos de la Ciudad./ Av. De la Convención, Av. Aguascalientes, Av. Universidad, AV. Ayuntamiento, Aguascalientes Mpio.</t>
  </si>
  <si>
    <t>81</t>
  </si>
  <si>
    <t>Reforestación de la Alameda./ Tramo entre Av. Manuel Gómez Morín y Av. Tecnológico, Aguascalientes Mpio.</t>
  </si>
  <si>
    <t>82</t>
  </si>
  <si>
    <t>Convivencia Ferroviaria 2A. Etapa, Meta "A". "Muros de Contención y Pintura en Fachadas./ Tramo Entre Av. Alameda y Av. A. López Mateos Aguascalientes Mpio.</t>
  </si>
  <si>
    <t>83</t>
  </si>
  <si>
    <t>Regeneración de Glorieta la Salud./ Calle Jacarandas y Calle Álamo, Jardines de la Cruz Fracc.</t>
  </si>
  <si>
    <t>84</t>
  </si>
  <si>
    <t>Remodelación Oficinas Secretaría de Desarrollo Social./ Calle Juan de Montoro No. 111, Centro Zona.</t>
  </si>
  <si>
    <t>86</t>
  </si>
  <si>
    <t>Rehabilitación de Cancha de Calle Canario./ pilar blanco Inf.</t>
  </si>
  <si>
    <t>98</t>
  </si>
  <si>
    <t>Rehabilitación de Canchas Zona Sur-Oriente de la Ciudad/ Aguascalientes Mpio.</t>
  </si>
  <si>
    <t>99</t>
  </si>
  <si>
    <t>Rehabilitación de Canchas Zona Oriente de la Ciudad/ Aguascalientes Mpio.</t>
  </si>
  <si>
    <t>2017/2018-PDM-0235-003-DM-05-023 FINAL</t>
  </si>
  <si>
    <t>2017/2018-PDM-0237-003-DM-05-025 FINAL</t>
  </si>
  <si>
    <t>No. de Contrato</t>
  </si>
  <si>
    <t>2018-FORTAMUNDF-0100-U9-03-001</t>
  </si>
  <si>
    <t>Pago de Derechos a CONAGUA en Materia de Uso  y Aprovechamiento de Aguas Nacionales, asi como Descargas de Aguas Residuales del Rastro Municipal</t>
  </si>
  <si>
    <t>Derecho</t>
  </si>
  <si>
    <t>SDS</t>
  </si>
  <si>
    <t>2018-FORTAMUNDF-0057-AS-03-001</t>
  </si>
  <si>
    <t>Tejiendo Esperanzas con el Corazón (Estambre</t>
  </si>
  <si>
    <t>Paquete</t>
  </si>
  <si>
    <t>2018-FORTAMUNDF-0058-AS-03-002</t>
  </si>
  <si>
    <t>Cimentando el Futuro con el Corazón</t>
  </si>
  <si>
    <t>2018-FORTAMUNDF-0059-AS-03-003</t>
  </si>
  <si>
    <t>Programa Juntos Nutrimos con el Corazón</t>
  </si>
  <si>
    <t>2018-FORTAMUNDF-0060-AS-03-004</t>
  </si>
  <si>
    <t>Convivamos Juntos</t>
  </si>
  <si>
    <t>Pieza</t>
  </si>
  <si>
    <t>MAQUINARIA Y CONTRUCCIONES CAFA, S.A. DE C.V.</t>
  </si>
  <si>
    <t>DM-0029-2018</t>
  </si>
  <si>
    <t>DM-0030-2018</t>
  </si>
  <si>
    <t>DM-0031-2018</t>
  </si>
  <si>
    <t>LEOPOLDO ENRIQUE FLORES DORADO</t>
  </si>
  <si>
    <t>DM-0047-2018</t>
  </si>
  <si>
    <t>CONSTRUCCIONES MEXICANAS DE INGENIERIA CIVIL, S.A. DE C.V.</t>
  </si>
  <si>
    <t>DM-0052-2018</t>
  </si>
  <si>
    <t>TRANSPORTE MAQUINARIA Y CONSTRUCCIONES, S.A. DE C.V.</t>
  </si>
  <si>
    <t>DM-0053-2018</t>
  </si>
  <si>
    <t>TRITURADOS Y ASFALTOS TRIAN, S.A. DE C.V.</t>
  </si>
  <si>
    <t>DM-0054-2018</t>
  </si>
  <si>
    <t>DM-0055-2018</t>
  </si>
  <si>
    <t>JAIME VALDIVIA CONSTRUCCIONES, S.A. DE C.V.</t>
  </si>
  <si>
    <t>DM-056-2018</t>
  </si>
  <si>
    <t>CONSTRUARES, S.A. DE C.V.</t>
  </si>
  <si>
    <t>DM-0064-2018</t>
  </si>
  <si>
    <t>VALUACION Y ARQUITECTURA DE AGUASCALIENTES, S.A. DE C.V.</t>
  </si>
  <si>
    <t>DM-0067-2018</t>
  </si>
  <si>
    <t>ARTURO ROBLEDO REYNOSO</t>
  </si>
  <si>
    <t>DM-0069-2018</t>
  </si>
  <si>
    <t>J. JESUS BERNAL MARTINEZ</t>
  </si>
  <si>
    <t>DM-0072-2018</t>
  </si>
  <si>
    <t>INGENIEROS ASOCIADOS ICOMIR, S DE RL DE CV</t>
  </si>
  <si>
    <t>DM-0076-2018</t>
  </si>
  <si>
    <t>CESAR ALEXIS MUÑOZ GOMEZ</t>
  </si>
  <si>
    <t>DM-0077-2018</t>
  </si>
  <si>
    <t>COPZA S DE RL DECV</t>
  </si>
  <si>
    <t>DM-0079-2018</t>
  </si>
  <si>
    <t>ARVAVALENCIA, S.A. DE C.V.</t>
  </si>
  <si>
    <t>DM-0083-2018</t>
  </si>
  <si>
    <t>DM-0084-2018</t>
  </si>
  <si>
    <t>JAVIER OMAR ARIAS RAMIREZ</t>
  </si>
  <si>
    <t>DM-0086-2018</t>
  </si>
  <si>
    <t>93</t>
  </si>
  <si>
    <t>Rehabilitación de la Imagen Úrbana Barrio del Encino, Meta 2; Andadores Polígono 1./ Jardín del Encino Barrio.</t>
  </si>
  <si>
    <t>94</t>
  </si>
  <si>
    <t>Rehabilitación de la Imagen Urbana Barrio del Encino, Meta 3: Andadores Polígono 2./ Jardín del Encino, El Encino Barrio.</t>
  </si>
  <si>
    <t>95</t>
  </si>
  <si>
    <t>Rehabilitación de la Imagen Urbana Barrio del Encino, Meta 4: Andadores Polígono 3./ Jardín del Encino, el Encino Barrio.</t>
  </si>
  <si>
    <t>96</t>
  </si>
  <si>
    <t>Rehabilitación de la Imagen Urbana Barrio del Encino, Meta 5: Andadores Polígono 4./ Jardín del Encino, el Encino Barrio.</t>
  </si>
  <si>
    <t>2018-PDM-0097-UR-01-047</t>
  </si>
  <si>
    <t>97</t>
  </si>
  <si>
    <t>Pavimento Hidráulico Blvd. Juan Pablo II./ Tramo entre Acc. Fracc. Eucaliptos I y Acc. Fracc. Misión San Juan Pablo II, Misión de Juan Pablo II Fracc.</t>
  </si>
  <si>
    <t>LUVI, S.A. DE C.V.</t>
  </si>
  <si>
    <t>DM-0099-2018</t>
  </si>
  <si>
    <t>116</t>
  </si>
  <si>
    <t>Reposición de Banquetas, Varios Puntos de la Ciudad.</t>
  </si>
  <si>
    <t>121</t>
  </si>
  <si>
    <t>Rehabilitación de Parques Zona Oriente de la Ciudad./ Varios Puntos de la Ciudad</t>
  </si>
  <si>
    <t>122</t>
  </si>
  <si>
    <t>Rehabilitación de Parque Pirules./ Calle Amapola y Calle Magnolia, Fracc. Pirules.</t>
  </si>
  <si>
    <t>123</t>
  </si>
  <si>
    <t>Rehabilitación de Parques Zona Nor-Oriente de la Ciudad./ Varios Puntos de la Ciudad</t>
  </si>
  <si>
    <t>2018-PDM-0128-SS-02-001</t>
  </si>
  <si>
    <t>SS</t>
  </si>
  <si>
    <t>128</t>
  </si>
  <si>
    <t>Iluminación Ornamental Templo del Sagrado Corazón de Jesús./ Calle 5 de Mayo No. 602, Centro Zona.</t>
  </si>
  <si>
    <t>PAGO DE 1 AL MILLAR</t>
  </si>
  <si>
    <t>117</t>
  </si>
  <si>
    <t>Rehabilitación Integral de guarniciones y banquetas. Calle Ignacio T. Chávez tramo de C. José F. Elizondo a C. Camelias.</t>
  </si>
  <si>
    <t>1250</t>
  </si>
  <si>
    <t>Federal 2018</t>
  </si>
  <si>
    <t>2018-FORTAFIN-A-0118-0411101-001</t>
  </si>
  <si>
    <t>118</t>
  </si>
  <si>
    <t>1500</t>
  </si>
  <si>
    <t>2018-FORTAFIN-A-0119-0411101-002</t>
  </si>
  <si>
    <t>119</t>
  </si>
  <si>
    <t>Pavimento Hidraulico Blvd. Siglo XXI Tramo 06 de Calle Carlos López Moctezuma a Andador Crepusculo</t>
  </si>
  <si>
    <t>2018-FORTAFIN-A-0120-0411101-003</t>
  </si>
  <si>
    <t>120</t>
  </si>
  <si>
    <t>Pavimento Hidraulico Blvd. Siglo XXI Tramo 07 de Andador Crepusculo a Av. del Faisan</t>
  </si>
  <si>
    <t>2018-FORTAFIN-A-0124-0411101-004</t>
  </si>
  <si>
    <t>124</t>
  </si>
  <si>
    <t>Pavimento Hidraulico Blvd. Siglo XXI Tramo 03 de Fracc. Villas de San Antonio a Calle Miguel Ramos Arizpe</t>
  </si>
  <si>
    <t>2018-FORTAFIN-A-0125-0411101-005</t>
  </si>
  <si>
    <t>Pavimento Hidraulico Blvd. Siglo XXI Tramo 04 de Calle Miguel Ramos Arizpe a Calle Jose de Jesus Rabago Ibarra</t>
  </si>
  <si>
    <t xml:space="preserve">Total </t>
  </si>
  <si>
    <t>CCAPAMA</t>
  </si>
  <si>
    <t>037</t>
  </si>
  <si>
    <t>ML</t>
  </si>
  <si>
    <t>210</t>
  </si>
  <si>
    <t>041</t>
  </si>
  <si>
    <t>105</t>
  </si>
  <si>
    <t>02</t>
  </si>
  <si>
    <t>049</t>
  </si>
  <si>
    <t>104</t>
  </si>
  <si>
    <t>06</t>
  </si>
  <si>
    <t>050</t>
  </si>
  <si>
    <t>100</t>
  </si>
  <si>
    <t>066</t>
  </si>
  <si>
    <t>50</t>
  </si>
  <si>
    <t>085</t>
  </si>
  <si>
    <t>372</t>
  </si>
  <si>
    <t>087</t>
  </si>
  <si>
    <t>316</t>
  </si>
  <si>
    <t>088</t>
  </si>
  <si>
    <t>484</t>
  </si>
  <si>
    <t>089</t>
  </si>
  <si>
    <t>784</t>
  </si>
  <si>
    <t>090</t>
  </si>
  <si>
    <t>452</t>
  </si>
  <si>
    <t>091</t>
  </si>
  <si>
    <t>01</t>
  </si>
  <si>
    <t>092</t>
  </si>
  <si>
    <t>SSPYE</t>
  </si>
  <si>
    <t>0101</t>
  </si>
  <si>
    <t>0102</t>
  </si>
  <si>
    <t>0103</t>
  </si>
  <si>
    <t>0106</t>
  </si>
  <si>
    <t>0107</t>
  </si>
  <si>
    <t>0108</t>
  </si>
  <si>
    <t>0109</t>
  </si>
  <si>
    <t>0110</t>
  </si>
  <si>
    <t>0111</t>
  </si>
  <si>
    <t>42</t>
  </si>
  <si>
    <t>0112</t>
  </si>
  <si>
    <t>300</t>
  </si>
  <si>
    <t>0113</t>
  </si>
  <si>
    <t>0114</t>
  </si>
  <si>
    <t>350</t>
  </si>
  <si>
    <t>0115</t>
  </si>
  <si>
    <t>2018-FISMDF-0105-1137-017</t>
  </si>
  <si>
    <t>0105</t>
  </si>
  <si>
    <t>Gastos Indirectos 2018 Municipio Aguascalientes</t>
  </si>
  <si>
    <t>SERVICIO</t>
  </si>
  <si>
    <t>877190</t>
  </si>
  <si>
    <t>SEDESOM</t>
  </si>
  <si>
    <t>0126</t>
  </si>
  <si>
    <t>PROYECTO</t>
  </si>
  <si>
    <t>5000</t>
  </si>
  <si>
    <t>SF</t>
  </si>
  <si>
    <t>2018-FORTAMUNDF-0104-DM-05-002</t>
  </si>
  <si>
    <t>Pago al Servicio de la Deuda Pública</t>
  </si>
  <si>
    <t>Servicio</t>
  </si>
  <si>
    <t>(FORTAMUNDF-2018)</t>
  </si>
  <si>
    <t>RAMO 33 (FISMDF-2018)</t>
  </si>
  <si>
    <t xml:space="preserve">FONDO PARA LA INFRAESTRUCTURA SOCIAL MUNICIPAL Y DE LAS DEMARCACIONES TERRITORIALES DEL DISTRITO FEDERAL </t>
  </si>
  <si>
    <t>ANEXO TECNICO</t>
  </si>
  <si>
    <t>001-A</t>
  </si>
  <si>
    <t>Prevención Social de Violencia y la Delincuencia con Participación Ciudadana</t>
  </si>
  <si>
    <t>Proyecto</t>
  </si>
  <si>
    <t>Fortalecimiento de las Capacicdades de Evaluación en Control de Confianza</t>
  </si>
  <si>
    <t>Elementos</t>
  </si>
  <si>
    <t>003-A</t>
  </si>
  <si>
    <t>Profesionalización de las Instituciones de Seguridad Pública</t>
  </si>
  <si>
    <t>Varias</t>
  </si>
  <si>
    <t>004-A</t>
  </si>
  <si>
    <t>Fortalecimiento de Programas Prioritarios Locales de las Intittuciones de Seguridad Pública de Impartició de Justicia</t>
  </si>
  <si>
    <t>Piezas</t>
  </si>
  <si>
    <t>005-A</t>
  </si>
  <si>
    <t>Sistema de Videovigilancia</t>
  </si>
  <si>
    <t>007-A</t>
  </si>
  <si>
    <t>-</t>
  </si>
  <si>
    <t>FORTASEG 2018</t>
  </si>
  <si>
    <t>2018-FISMDF-0131-0411101-029</t>
  </si>
  <si>
    <t>0131</t>
  </si>
  <si>
    <t>Construcción de Andador Amatista Tramo de C. Coral a C. Rubi Com. Norias de Ojocaliente</t>
  </si>
  <si>
    <t>500</t>
  </si>
  <si>
    <t>0132</t>
  </si>
  <si>
    <t>VIVIENDA</t>
  </si>
  <si>
    <t>0133</t>
  </si>
  <si>
    <t>36</t>
  </si>
  <si>
    <t>0134</t>
  </si>
  <si>
    <t>0135</t>
  </si>
  <si>
    <t>0136</t>
  </si>
  <si>
    <t>0137</t>
  </si>
  <si>
    <t>0138</t>
  </si>
  <si>
    <t>0139</t>
  </si>
  <si>
    <t>0140</t>
  </si>
  <si>
    <t>0141</t>
  </si>
  <si>
    <t>0144</t>
  </si>
  <si>
    <t>39</t>
  </si>
  <si>
    <t>0146</t>
  </si>
  <si>
    <t>Construcción de 47 Cisternas Zona 01-C1 Varias Coloinias del Municipio de Aguascalientes</t>
  </si>
  <si>
    <t>0147</t>
  </si>
  <si>
    <t>0127</t>
  </si>
  <si>
    <t>PAQUETE</t>
  </si>
  <si>
    <t>Devegado</t>
  </si>
  <si>
    <t>Secretaria de Administración</t>
  </si>
  <si>
    <t>Convenio</t>
  </si>
  <si>
    <t>Fondo Nacional Emprendedor</t>
  </si>
  <si>
    <t>Convocatoria 1.5</t>
  </si>
  <si>
    <t>ZITUM DESARROLLADORES, S.A. DE C.V.</t>
  </si>
  <si>
    <t>DM-0065-2018</t>
  </si>
  <si>
    <t>JAVFRA CONSTRUCCIONES, S.A. DE C.V.</t>
  </si>
  <si>
    <t>DM-0074-2018</t>
  </si>
  <si>
    <t>CONSTRUCTORA MENWORK MEXICO, S.A. DE C.V.</t>
  </si>
  <si>
    <t>DM-0075-2018</t>
  </si>
  <si>
    <t>DM-0081-2018</t>
  </si>
  <si>
    <t>DM-0093-2018</t>
  </si>
  <si>
    <t>DM-0094-20118</t>
  </si>
  <si>
    <t>CONSTRUCTORA VALDEZ RODRIGUEZ, S.A. DE C.V.</t>
  </si>
  <si>
    <t>DM-0097-2018</t>
  </si>
  <si>
    <t>RAFAEL MARTINEZ DELGADO</t>
  </si>
  <si>
    <t>DM-0098-2018</t>
  </si>
  <si>
    <t>DM-0122-2018</t>
  </si>
  <si>
    <t>129</t>
  </si>
  <si>
    <t>Construcción de Caseta de Control de Acceso, Centro de Atención Municipal./ Av. Adolfo López Mateos, Centro Zona.</t>
  </si>
  <si>
    <t>2018-PDM-0142-UR-04-052</t>
  </si>
  <si>
    <t>142</t>
  </si>
  <si>
    <t>2018-PDM-0143-UR-04-052</t>
  </si>
  <si>
    <t>143</t>
  </si>
  <si>
    <t>2017/2018-PDM-0238-003-ID-01-002</t>
  </si>
  <si>
    <t>PTC COMUNICACIÓN SAPI DE CV</t>
  </si>
  <si>
    <t>AD 012/2018</t>
  </si>
  <si>
    <t>SUMINISTRO COMERCIALES CHITE SAPI DE CV</t>
  </si>
  <si>
    <t>AD 034/2014</t>
  </si>
  <si>
    <t>LICITACIÓN PÚBLICA NACIONAL</t>
  </si>
  <si>
    <r>
      <rPr>
        <b/>
        <sz val="14"/>
        <color theme="0"/>
        <rFont val="Calibri"/>
        <family val="2"/>
      </rPr>
      <t xml:space="preserve">DEPARTAMENTO DE CONTROL PRESUPUESTAL DE LA OBRA PUBLICA Y PROGRAMAS FEDERALES                                                                                  </t>
    </r>
    <r>
      <rPr>
        <b/>
        <sz val="14"/>
        <color theme="0"/>
        <rFont val="Calibri"/>
        <family val="2"/>
        <scheme val="minor"/>
      </rPr>
      <t xml:space="preserve">                                                                                                                                                                 RAMO 23 PRORE 2018</t>
    </r>
  </si>
  <si>
    <t>CONVOCATORIA PUBLICA</t>
  </si>
  <si>
    <t>RODOLFO ROBLEDO</t>
  </si>
  <si>
    <t>FISMDF-CAP-02-2018</t>
  </si>
  <si>
    <t>CONHICA DESARROLLO S.A. DE C.V.</t>
  </si>
  <si>
    <t>FISMDF-CAP-01-2018</t>
  </si>
  <si>
    <t>FISMDF-CAP-03-2018</t>
  </si>
  <si>
    <t>CONSTRUCCION CIVIL Y SERVICIOS S.A. DE C.V.</t>
  </si>
  <si>
    <t>FISMDF-CAP-04-2018</t>
  </si>
  <si>
    <t>JORGE MARCOS MIRANDA</t>
  </si>
  <si>
    <t>FISMDF-CAP-05-2018</t>
  </si>
  <si>
    <t>CONSTRUCTORA VALDEZ RODRIGUEZ S.A. DE C.V.</t>
  </si>
  <si>
    <t>FISMDF-0113-2018</t>
  </si>
  <si>
    <t>URCOMA S.A. DE C.V.</t>
  </si>
  <si>
    <t>FISMDF-0114-2018</t>
  </si>
  <si>
    <t>CBG CONSTRUCCIONES S.A. DE C.V</t>
  </si>
  <si>
    <t>FISMDF-0115-2018</t>
  </si>
  <si>
    <t>CONSTRUCTORA ALMER S.A. DE C.V.</t>
  </si>
  <si>
    <t>FISMDF-0131-2018</t>
  </si>
  <si>
    <t>MADERERIA Y CONSTRRUCCIONES ALLPINO S.A. DE C.V.</t>
  </si>
  <si>
    <t>FISMDF-0133-2018</t>
  </si>
  <si>
    <t>GGM CONSTRUCCIONES S. A. DE C.V.</t>
  </si>
  <si>
    <t>FISMDF-0134-2018</t>
  </si>
  <si>
    <t>CONSORCIO INDUSTRIAL INTERNACIONAL AIRE S.A. DE C.V.</t>
  </si>
  <si>
    <t>FISMDF-0135-2018</t>
  </si>
  <si>
    <t>JULIO CESAR BADILLO</t>
  </si>
  <si>
    <t>FISMDF-0136-2018</t>
  </si>
  <si>
    <t>JOSE ASUNCION ORTIZ</t>
  </si>
  <si>
    <t>FISMDF-0138-2018</t>
  </si>
  <si>
    <t>FONDO ARQUITECTURA S.A. DE C.V.</t>
  </si>
  <si>
    <t>FISMDF-0140-2018</t>
  </si>
  <si>
    <t>FRADAG CONSTRUCTORES  S.A. DE C.V.</t>
  </si>
  <si>
    <t>FISMDF-0141-2018</t>
  </si>
  <si>
    <t>COHEVI CONSTRUCTORES S.A. DE C.V.</t>
  </si>
  <si>
    <t>FISMDF-0144-2018</t>
  </si>
  <si>
    <t>0161</t>
  </si>
  <si>
    <t>Construcción de 30 Recamaras Adiccionales (Planta alta con escalera) En Igual Numero de Viviendas Zona 01-PACE Varios Puntros de la Ciudad(MODIFICADO)</t>
  </si>
  <si>
    <t>0162</t>
  </si>
  <si>
    <t>Construcción de 19 Recamaras Adiccionales (Planta alta con escalera) En Igual Numero de Viviendas Zona 02-PACE Varios Puntros de la Ciudad(MODIFICADO)</t>
  </si>
  <si>
    <t>0163</t>
  </si>
  <si>
    <t>Construcción de 19 Recamaras Adiccionales (Planta alta con escalera) En Igual Numero de Viviendas Zona 03-PACE Varios Puntros de la Ciudad(MODIFICADO)</t>
  </si>
  <si>
    <t>0164</t>
  </si>
  <si>
    <t>Construcción de 29 Recamaras Adiccionales (Planta alta sin escalera) En Igual Numero de Viviendas Zona 01-PASE Varios Puntros de la Ciudad(MODIFICADO)</t>
  </si>
  <si>
    <t>0165</t>
  </si>
  <si>
    <t>Construcción de 24 Recamaras Adiccionales (Planta alta sin escalera) En Igual Numero de Viviendas Zona 02-PASE Varios Puntros de la Ciudad(MODIFICADO)</t>
  </si>
  <si>
    <t>0166</t>
  </si>
  <si>
    <t>Construcción de 27 Recamaras Adiccionales (Planta alta sin escalera) En Igual Numero de Viviendas Zona 03-PASE Varios Puntros de la Ciudad(MODIFICADO)</t>
  </si>
  <si>
    <t>0167</t>
  </si>
  <si>
    <t>Construcción de 26 Recamaras Adiccionales (Planta alta sin escalera) En Igual Numero de Viviendas Zona 04-PASE Varios Puntros de la Ciudad(MODIFICADO)</t>
  </si>
  <si>
    <t>0168</t>
  </si>
  <si>
    <t>Construcción de 26 Recamaras Adiccionales (Planta alta sin escalera) En Igual Numero de Viviendas Zona 05-PASE Varios Puntros de la Ciudad(MODIFICADO)</t>
  </si>
  <si>
    <t>0169</t>
  </si>
  <si>
    <t>0170</t>
  </si>
  <si>
    <t>1150</t>
  </si>
  <si>
    <t>0171</t>
  </si>
  <si>
    <t>375</t>
  </si>
  <si>
    <t>2018-FISMDF-0172-074214-055</t>
  </si>
  <si>
    <t>0172</t>
  </si>
  <si>
    <t>Mejoramiento de Escuela Primaria Vicente Guerrero C.Adolfo Lopez Mateos N° 301 Localidad San Ignacio</t>
  </si>
  <si>
    <t>310</t>
  </si>
  <si>
    <t>0173</t>
  </si>
  <si>
    <t>340</t>
  </si>
  <si>
    <t>0175</t>
  </si>
  <si>
    <t>195</t>
  </si>
  <si>
    <t>0178</t>
  </si>
  <si>
    <t>524</t>
  </si>
  <si>
    <t>0179</t>
  </si>
  <si>
    <t>425</t>
  </si>
  <si>
    <t>0180</t>
  </si>
  <si>
    <t>213</t>
  </si>
  <si>
    <t>2018-FISMDF-0181-074215-062</t>
  </si>
  <si>
    <t>0181</t>
  </si>
  <si>
    <t>Mejoramiento de Escuela Secundaria General N° 24 "Jose Guadalupe Najera Jimenez Villa Licenciado Jesus Teran Calvillito</t>
  </si>
  <si>
    <t>282</t>
  </si>
  <si>
    <t>0184</t>
  </si>
  <si>
    <t>442</t>
  </si>
  <si>
    <t>0185</t>
  </si>
  <si>
    <t>421</t>
  </si>
  <si>
    <t>0186</t>
  </si>
  <si>
    <t>0187</t>
  </si>
  <si>
    <t>0188</t>
  </si>
  <si>
    <t>57</t>
  </si>
  <si>
    <t>2018-FISMDF-0183-1137-068</t>
  </si>
  <si>
    <t>0183</t>
  </si>
  <si>
    <t>797500</t>
  </si>
  <si>
    <t>DIF</t>
  </si>
  <si>
    <t>2018-FORTAMUNDF-0182-SS-02-001</t>
  </si>
  <si>
    <t>Programa Integral para Personas con Alguna Discapacidad</t>
  </si>
  <si>
    <t>2018-PDM-0045-001-UR-01-021</t>
  </si>
  <si>
    <t>RAG OPERADORA EL ALTO, S.A. DE C.V.</t>
  </si>
  <si>
    <t>DM-0080-2018</t>
  </si>
  <si>
    <t>GLG INGENIEROS, S.A. DE C.V.</t>
  </si>
  <si>
    <t>DM-0095-2018</t>
  </si>
  <si>
    <t>GERARDO ALEJANDRO ROSALES GUTIERREZ</t>
  </si>
  <si>
    <t>DM-0096-2018</t>
  </si>
  <si>
    <t>RODCA CONSTRUCCIONES, S.A. DE C.V.</t>
  </si>
  <si>
    <t>DM-0116-2018</t>
  </si>
  <si>
    <t>SUBESTACION DEL CENTRO, S.A. DE C.V.</t>
  </si>
  <si>
    <t>DM-0128-2018</t>
  </si>
  <si>
    <t>130</t>
  </si>
  <si>
    <t>2018-PDM-0148-EA-01-001</t>
  </si>
  <si>
    <t>148</t>
  </si>
  <si>
    <t>Mantenimiento Correctivo de Alumbrado Público, Zona 01./ Varios Puntos de la Ciudad.</t>
  </si>
  <si>
    <t>2018-PDM-0149-EA-01-002</t>
  </si>
  <si>
    <t>149</t>
  </si>
  <si>
    <t>Mantenimiento Correctivo de Alumbrado Público, Zona 02./ Varios Puntos de la Ciudad.</t>
  </si>
  <si>
    <t>2018-PDM-0150-EA-01-004</t>
  </si>
  <si>
    <t>150</t>
  </si>
  <si>
    <t>Mantenimiento Correctivo de Alumbrado Público, Zona 03./ Varios Puntos de la Ciudad.</t>
  </si>
  <si>
    <t>151</t>
  </si>
  <si>
    <t>Mantenimiento Correctivo de Alumbrado Público, Zona 04./ Varios Puntos de la Ciudad.</t>
  </si>
  <si>
    <t>152</t>
  </si>
  <si>
    <t>Mantenimiento Correctivo de Alumbrado Público, Zona 05./ Varios Puntos de la Ciudad.</t>
  </si>
  <si>
    <t>153</t>
  </si>
  <si>
    <t>Mantenimiento Correctivo de Alumbrado Público, Zona 06./ Varios Puntos de la Ciudad.</t>
  </si>
  <si>
    <t>2018-PDM-0154-EA-01-008</t>
  </si>
  <si>
    <t>154</t>
  </si>
  <si>
    <t>Mantenimiento Correctivo de Alumbrado Público, Zona 07./ Varios Puntos de la Ciudad.</t>
  </si>
  <si>
    <t>2018-PDM-0155-EA-01-009</t>
  </si>
  <si>
    <t>155</t>
  </si>
  <si>
    <t>Mantenimiento Correctivo de Alumbrado Público, Zona 08./ Varios Puntos de la Ciudad.</t>
  </si>
  <si>
    <t>2018-PDM-0156-EA-01-010</t>
  </si>
  <si>
    <t>156</t>
  </si>
  <si>
    <t>Mantenimiento Correctivo de Alumbrado Público, Zona 09./ Varios Puntos de la Ciudad.</t>
  </si>
  <si>
    <t>2018-PDM-0157-EA-01-011</t>
  </si>
  <si>
    <t>157</t>
  </si>
  <si>
    <t>Mantenimiento Correctivo de Alumbrado Público, Zona 10./ Varios Puntos de la Ciudad.</t>
  </si>
  <si>
    <t>2018-PDM-0158-EA-01-012</t>
  </si>
  <si>
    <t>158</t>
  </si>
  <si>
    <t>Mantenimiento Subestación Plaza Patria./ Centro Zona</t>
  </si>
  <si>
    <t>159</t>
  </si>
  <si>
    <t>Construcción Parque Villas de las Palmas. Calle Villa Alejandría, Esq. Calle Proceres dela Enseñanza, Villas de las Palmas Fracc. 2á. Secc.</t>
  </si>
  <si>
    <t>2018-PDM-0160-UR-05-054</t>
  </si>
  <si>
    <t>160</t>
  </si>
  <si>
    <t>Rehabilitación de Puente Peatonal./ Av. Aguascalientes Poniente, Los Pirules Inf.</t>
  </si>
  <si>
    <t>176</t>
  </si>
  <si>
    <t>Reposición de Banquetas, Etapa 02 Varios Puntos de la Ciudad.</t>
  </si>
  <si>
    <t>CONVOCATORIA FEDERAL</t>
  </si>
  <si>
    <t>MAGS CONSTRUCCIONES S.A. DE C.V.</t>
  </si>
  <si>
    <t>FORTAFIN-A-0118-2018</t>
  </si>
  <si>
    <t>MAQUINARIA Y CONSTRUCCIONES DE LA SERNA S.A. DE C.V.</t>
  </si>
  <si>
    <t>FORTAFIN-A-0119-2018</t>
  </si>
  <si>
    <t>FORTAFIN-A-0120-2018</t>
  </si>
  <si>
    <t>CONCRETOS UNIVERSALES S.A. DE C.V.</t>
  </si>
  <si>
    <t>FORTAFIN-A-0124-2018</t>
  </si>
  <si>
    <t>ALMACO CONSTRUCCION Y DISEÑO S.A. DE C.V.</t>
  </si>
  <si>
    <t>FORTAFIN-A-0125-2018</t>
  </si>
  <si>
    <t>2018-FISMDF-0037-001-01011-001</t>
  </si>
  <si>
    <t>ADJUDICACION DIRECTA</t>
  </si>
  <si>
    <t>INFRAESTRUCTURA NACIONAL CARRETERA S.A. DE C.V.</t>
  </si>
  <si>
    <t>FISMDF-CAP-09-2018</t>
  </si>
  <si>
    <t>2018-FISMDF-0038-02062-069</t>
  </si>
  <si>
    <t>038</t>
  </si>
  <si>
    <t>Construcción de Red de Alcantarillado Calle Fresno Barrio Los Tiscareño Comunidad Calvillito(MODIFICADO)</t>
  </si>
  <si>
    <t>GRUPO EMPRESARIAL CAAD S.A. DE C.V.</t>
  </si>
  <si>
    <t>FISMDF-CAP-14-2018</t>
  </si>
  <si>
    <t>2018-FISMDF-0043-001-01011-003</t>
  </si>
  <si>
    <t>Construcción deRed de Agua Potable en la Tercer Privada 20 de Noviembre Comunidad Calvillito(MODIFICADO)</t>
  </si>
  <si>
    <t>PROYECTOS CIVILES Y ARQUITECTONICOS S.A. DE C.V.</t>
  </si>
  <si>
    <t>FISMDF-CAP-10-2018</t>
  </si>
  <si>
    <t>048</t>
  </si>
  <si>
    <t>106</t>
  </si>
  <si>
    <t>Construcción de Red de Alcantarillado Calle Queretaro, Barrio del Mercadito Comunidad Calvillito(MODIFICADO)</t>
  </si>
  <si>
    <t>LEOPOLDO ENRIQUEZ FLORES</t>
  </si>
  <si>
    <t>FISMDF-CAP-12-2018</t>
  </si>
  <si>
    <t>Construcción de Red Alcantarillado de la Av. Revolución entre Emiliano Zapata y Francisco Villa Col. Revolución Comunidad Calvillito(MODIFICADO)</t>
  </si>
  <si>
    <t>JAYME VALDIVIA CONSTRUCCIONES S.A. DE C.V.</t>
  </si>
  <si>
    <t>FISMDF-CAP-11-2018</t>
  </si>
  <si>
    <t>2018-FISMDF-0066-001-02061-006</t>
  </si>
  <si>
    <t>Construcción de Red de Alcantarillado en las Calles Francisco Villa y Felipe Angeles de Av. Revolución a Emiliano Zapata, Comunidad Calvillito(MODIFICADO)</t>
  </si>
  <si>
    <t>FRADAG CONSTRUCCIONES S.A. DE C.V.</t>
  </si>
  <si>
    <t>FISMDF-CAP-13-2018</t>
  </si>
  <si>
    <t>Rehabilitación de la Red de Alcantarillado de la Calle Teniente Coronel Roberto Jefkins Rangel en el Tramo de Francisco Revilla a Calle Alfonso Rodriguez Etapa 1(MODIFICADO)</t>
  </si>
  <si>
    <t>Rehabilitación de la Red de Alcantarillado de la Calle Antonio Medina Romo en el Tramo de Calle Francisco M. Revilla a Calle Humberto González Araujo del Fracc. Benito Palomino Dena Etapa 1(MODIFICADO)</t>
  </si>
  <si>
    <t>Rehabilitación de la Red de Alcantarillado de la Calle Lic. Pedro Rivas Cuellar en el Tramo de Francisco M. Revilla a Calle Humberto González Araujo del Fracc. Benito Palomino Dena Etapa 1(MODIFICADO)</t>
  </si>
  <si>
    <t>Rehabilitación de la Red de Alcantarillado de la Calle Juan Morales M. en el Tramo de Calle Francisco M. Revilla a Calle Humberto González Araujo del Fracc. Benito Palomino Dena Etapa 1(MODIFICADO)</t>
  </si>
  <si>
    <t>2018-FISMDF-0091-001-02061-012</t>
  </si>
  <si>
    <t>Construcción de Red de Alcantarillado Sanitario Boulevard Diamante Norias de Ojocaliente(MODIFICADO)</t>
  </si>
  <si>
    <t>JUAN JOSE VICENCIO</t>
  </si>
  <si>
    <t>FISMDF-CAP-06-2018</t>
  </si>
  <si>
    <t>2018-FISMDF-0092-001-01011-013</t>
  </si>
  <si>
    <t>Construcción de la Red de Agua Potable Boulevard Diamante, Norias de Ojocaliente(MODIFICADO)</t>
  </si>
  <si>
    <t>FISMDF-CAP-07-2018</t>
  </si>
  <si>
    <t>FERNANDO DE JESUS ESPARZA</t>
  </si>
  <si>
    <t>FISMDF-101-2018</t>
  </si>
  <si>
    <t>SUBESTACION DEL CENTRO S.A. DE C.V.</t>
  </si>
  <si>
    <t>FISMDF-0102-2018</t>
  </si>
  <si>
    <t>PUBLICA ESTATAL</t>
  </si>
  <si>
    <t>ACHER CONSTRUCCIONES Y ABASTECIMIENTOS S.A. DE C.V.</t>
  </si>
  <si>
    <t>FISMDF-0103-2018</t>
  </si>
  <si>
    <t>Construcción de Red Agua Potable en Calle San Judas Tadeo Comunidad Calvillito(MODIFICADO)</t>
  </si>
  <si>
    <t>CONSTRUCCIONES ORO MAR S.A. DE C.V.</t>
  </si>
  <si>
    <t>FISMDF-CAP-15-2018</t>
  </si>
  <si>
    <t>2018-FISMDF-0111-001-02061-023</t>
  </si>
  <si>
    <t>Construcción de la Red de Alcantarillado en la Calle Santa Cecilia Pericos(MODIFICADO)</t>
  </si>
  <si>
    <t>CONSTRUCCIONES EK3 S.A. DE C.V.</t>
  </si>
  <si>
    <t>FISMDF-CAP-08-2018</t>
  </si>
  <si>
    <t>CONSTRUCTORA FLORES HERMANOS S.A. DE C.V.</t>
  </si>
  <si>
    <t>FISMDF-0112-2018</t>
  </si>
  <si>
    <t>ARENTSEN DAVILA RAMIREZ</t>
  </si>
  <si>
    <t>FISMDF-0132-2018</t>
  </si>
  <si>
    <t>LUVI S.A. DE C. V.</t>
  </si>
  <si>
    <t>FISMDF-0137-2018</t>
  </si>
  <si>
    <t>RHV CONSTRUCCIONES S.A. DE C.V.</t>
  </si>
  <si>
    <t>FISMDF-0139-2018</t>
  </si>
  <si>
    <t>FISMDF-0146-2018</t>
  </si>
  <si>
    <t>FISMDF-0161-2018</t>
  </si>
  <si>
    <t>FISMDF-0162-2018</t>
  </si>
  <si>
    <t>JOSE PADILLA GONZALEZ</t>
  </si>
  <si>
    <t>FISMDF-0163-2018</t>
  </si>
  <si>
    <t>CONSTRUCCIONES PRAGARBA S.A. DE C.V.</t>
  </si>
  <si>
    <t>FISMDF-0164-2018</t>
  </si>
  <si>
    <t>CH INFRAESTRUCTURA Y DESARROLLO S.A. DE C.V.</t>
  </si>
  <si>
    <t>FISMDF-0166-2018</t>
  </si>
  <si>
    <t>A5M SOLUCIONES CONSTRUCTIVAS S.A. DE C.V.</t>
  </si>
  <si>
    <t>FISMDF-0168-2018</t>
  </si>
  <si>
    <t>MIGUEL FRANCISCO BARRIOS MARTINEZ</t>
  </si>
  <si>
    <t>FISMDF-0169-2018</t>
  </si>
  <si>
    <t>ENCO SERVICIOS S.A. DE C.V.</t>
  </si>
  <si>
    <t>FISMDF-0170-2018</t>
  </si>
  <si>
    <t>SILJA INGENIERIA S.A. DE C.V.</t>
  </si>
  <si>
    <t>FISMDF-0171-2018</t>
  </si>
  <si>
    <t>FISMDF-0172-2018</t>
  </si>
  <si>
    <t>VICTOR MANUEL POZO VAZQUEZ</t>
  </si>
  <si>
    <t>FISMDF-0179-2018</t>
  </si>
  <si>
    <t>GREGORIO CALVILLO SILVA</t>
  </si>
  <si>
    <t>FISMDF-0186-2018</t>
  </si>
  <si>
    <t>Gastos Indirectos Todo el Municipio de Aguascalientes</t>
  </si>
  <si>
    <t>2018-FORTAFIN-A-0201-0305-006</t>
  </si>
  <si>
    <t>03</t>
  </si>
  <si>
    <t>201</t>
  </si>
  <si>
    <t>Albergue Estudiantil "Ezequiel A. Chavez" 2a Etapa Av. Del Rey Esq. C. Afil Negro Lomas del Ajedrez</t>
  </si>
  <si>
    <t>IMAA</t>
  </si>
  <si>
    <t>177</t>
  </si>
  <si>
    <t>190</t>
  </si>
  <si>
    <t>Construcción de Cubierta Tipo B: Cancha Multiusos, Parque el Cerrito (Cancha Poniente)./ C. Paseo de Ojocaliente y C. Libra, Jesus Gomez Portugal Fracc.</t>
  </si>
  <si>
    <t>191</t>
  </si>
  <si>
    <t>Construcción de Sobrecarpeta Asfáltica, Calle Cerro de los Gallos y Calle Garbanzo./ Agua Clara Fracc.</t>
  </si>
  <si>
    <t>192</t>
  </si>
  <si>
    <t>Construcción de Sobrecarpeta Asfáltica, Calle Chile y Calle Alubia./ Agua Clara Fracc.</t>
  </si>
  <si>
    <t>2018-PDM-0193-DM-05-019</t>
  </si>
  <si>
    <t>193</t>
  </si>
  <si>
    <t>Ampliación del Área de Oficinas en Zona de Tolerancia./ Zona de Tolerancia, Aguascalientes. Ags.</t>
  </si>
  <si>
    <t>2018-PDM-0194-DM-05-018</t>
  </si>
  <si>
    <t>194</t>
  </si>
  <si>
    <t>2018-PDM-0200-EA-01-013</t>
  </si>
  <si>
    <t>200</t>
  </si>
  <si>
    <t>Instalación de Reflectores en el Tunel de la Calle 5 de Mayo (entre C. Hornedo y Allende) Zona Centro.</t>
  </si>
  <si>
    <t>LUMINARIA</t>
  </si>
  <si>
    <t>Participantes</t>
  </si>
  <si>
    <t>Estatal</t>
  </si>
  <si>
    <t>2018-3X1-0189-SS-03-001</t>
  </si>
  <si>
    <t xml:space="preserve">BECAS PARA HIJOS  DE MIGRANTES AGUASCALIENTES </t>
  </si>
  <si>
    <t>varios</t>
  </si>
  <si>
    <t>AM</t>
  </si>
  <si>
    <t>Lotes</t>
  </si>
  <si>
    <t>MULTICOMERCIALIZADORA ASTRAL SA. DE C.V</t>
  </si>
  <si>
    <t>AD0137/2018</t>
  </si>
  <si>
    <t>ADJUDICACIÓN DIRECTA</t>
  </si>
  <si>
    <t>CONESTRUCTURA, S.A. DE C.V.</t>
  </si>
  <si>
    <t>PRORE-0117-2018</t>
  </si>
  <si>
    <t>DIRECCIÓN DE EGRESOS</t>
  </si>
  <si>
    <t>7</t>
  </si>
  <si>
    <t>Construcción de sobrecarpeta Asfáltica Av. Convención de 1914 Poniente, Calzada Oriente Tramo: Entre Calle Guadalupe y Av. Fundición/ Aguascalientes Mpio.</t>
  </si>
  <si>
    <t>Construcción de Pavimento Asfáltico, Av- Aguascalientes Sur de José  Ma. Chávez a Heróe de Nacozari</t>
  </si>
  <si>
    <t>125</t>
  </si>
  <si>
    <t>IMAC (FESTEJO DEL ANIVERSARIO DE LA CD.)</t>
  </si>
  <si>
    <t>JOSMAR CONSTRUCCIONES, S.A. DE C.V.</t>
  </si>
  <si>
    <t>DM-0129-2018</t>
  </si>
  <si>
    <t>DM-0130-2018</t>
  </si>
  <si>
    <t>DM-0160-2018</t>
  </si>
  <si>
    <t>CONSORCIO INDUSTRIAL INTERNACIONAL AIRE, S.A. DE C.V.</t>
  </si>
  <si>
    <t>DM-0190-2018</t>
  </si>
  <si>
    <t>DM-0191-2018</t>
  </si>
  <si>
    <t>DM-0192-2018</t>
  </si>
  <si>
    <t>2018-PDM-0202-ID-01-011</t>
  </si>
  <si>
    <t>202</t>
  </si>
  <si>
    <t>Construcción de Cubierta Tipo A1: En Cancha Multiusos, Parque Potreros del Oeste./ Av. Siglo XXI y Andador Crepúsculo, Potreros del Oeste U/HAB.</t>
  </si>
  <si>
    <t>2018-PDM-0204-ID-01-012</t>
  </si>
  <si>
    <t>204</t>
  </si>
  <si>
    <t>Construcción de Cubierta Tipo A1: En Cancha Multiusos./ Morelos U. HAB. INF..</t>
  </si>
  <si>
    <t>206</t>
  </si>
  <si>
    <t xml:space="preserve">Rehabilitación de Caseta de Vigilancia Estacionamiento Palacio Municipal./ Centro Zona. </t>
  </si>
  <si>
    <t>208</t>
  </si>
  <si>
    <t>Barrera Vehicular Estacionamiento CAM./ Av. Adolfo López Mateos. Centro de atención Múltipe Municipal.</t>
  </si>
  <si>
    <t>2018-PDM-0209-ID-03-013</t>
  </si>
  <si>
    <t>209</t>
  </si>
  <si>
    <t>Rehabilitación de la Red de Alcantarillado de la Calle Belizario Domimguez entre Julian Medina y Abraham Gonzaález de la Col. Insurgentes(CANCELADA)</t>
  </si>
  <si>
    <t>043</t>
  </si>
  <si>
    <t>2018-FISMDF-0088-002-02062-009</t>
  </si>
  <si>
    <t>Rehabilitación de la Red de Alcantarillado de la Calle Jose Medina en el Tramo de Calle Francisco M. Revilla a Calle Humberto González Araujo del Fracc. Benito Palomino Dena(MODIFICADO)</t>
  </si>
  <si>
    <t>Construcción de Red de Alcantarillado en privada Salvador Quezada Limón Cominidad Calvillito(MODIFICADO)</t>
  </si>
  <si>
    <t>Construcción de Red de Agua Potable en Privada Salvador Quezada Limon Comunidad Calvillito(MODIFICADO)</t>
  </si>
  <si>
    <t>0205</t>
  </si>
  <si>
    <t>0145</t>
  </si>
  <si>
    <t>300150</t>
  </si>
  <si>
    <t>2018-FORTAFIN-B-0211-0305-001</t>
  </si>
  <si>
    <t>211</t>
  </si>
  <si>
    <t>Rehabilitacion Mercado Teran Zona Centro</t>
  </si>
  <si>
    <t>100000</t>
  </si>
  <si>
    <t>PTTO. APROBADO</t>
  </si>
  <si>
    <t>3 x 1 PARA MIGRANTE</t>
  </si>
  <si>
    <t xml:space="preserve">SECRETARÍA DE FINANZAS PÚBLICAS                                                                                                                                                                                                                                </t>
  </si>
  <si>
    <t>TOTAL EJERCIDO</t>
  </si>
  <si>
    <t>002-A</t>
  </si>
  <si>
    <t>PTTO. AUTORIZADO</t>
  </si>
  <si>
    <t>2017/2018-PDM-003-0004-006-DM-06-003</t>
  </si>
  <si>
    <t>2017/2018-PDM-005-0006-007-DM-06-005</t>
  </si>
  <si>
    <t>SERVICIOS EN CONCRETO MAZA, S.A. DE C.V.</t>
  </si>
  <si>
    <t>DM-0142-2018</t>
  </si>
  <si>
    <t>CONSTRUCCIONES, INGENIERIA Y ELECTRIFICACIÓN OLVERA, S DE RL DE CV</t>
  </si>
  <si>
    <t>DM-0150-2018</t>
  </si>
  <si>
    <t>FERNANDO DE JESUS ESPARZA ORTIZ</t>
  </si>
  <si>
    <t>DM-0151-2018</t>
  </si>
  <si>
    <t>DM-0152-2018</t>
  </si>
  <si>
    <t>ACHER CONSTRUCCIONES Y ABASTECIMIENTOS, SA DE CV</t>
  </si>
  <si>
    <t>DM-0153-2018</t>
  </si>
  <si>
    <t>DM-0154-2018</t>
  </si>
  <si>
    <t>DM-0155-2018</t>
  </si>
  <si>
    <t>DM-0156-2018</t>
  </si>
  <si>
    <t>PTC ELECTRICA, S.A. DE C.V</t>
  </si>
  <si>
    <t>DM-0157-2018</t>
  </si>
  <si>
    <t>DM-0158-2018</t>
  </si>
  <si>
    <t>DM-0159-2018</t>
  </si>
  <si>
    <t>DM-0176-2018</t>
  </si>
  <si>
    <t>GRUPO ALCARIM, S.A. DE C.V.</t>
  </si>
  <si>
    <t>DM-0193-2018</t>
  </si>
  <si>
    <t>DM-0194-2018</t>
  </si>
  <si>
    <t>CONECCIONES INTEGRALES EN ALUMBRADO, S.A. DE C.V.</t>
  </si>
  <si>
    <t>DM-0200-2018</t>
  </si>
  <si>
    <t>INFRAESTRUCTURA Y DESARROLLO SUSTENTABLE DEL CENTRO, S DE RL DE CV</t>
  </si>
  <si>
    <t>DM-0202-2018</t>
  </si>
  <si>
    <t>DM-0204-2018</t>
  </si>
  <si>
    <t>DM-0209-2018</t>
  </si>
  <si>
    <t>212</t>
  </si>
  <si>
    <t>Construcción de Cubierta para Cancha en Esc. Prim. "GRL. Guadalupe Victoria"./ Refugio de Peñuelas Com.</t>
  </si>
  <si>
    <t>2018-PDM-0214-DM-06-029</t>
  </si>
  <si>
    <t>214</t>
  </si>
  <si>
    <t>Rehabilitación por Contingencia, Etapa 04./ Varias Calles de la Ciudad, Aguascalientes Mpio. 1. Desazolve de Lago Las Cumbres en Pericos. 2. Calle San Ignacio. 3. Calle Santa Eduviges. 4. Calle Santa María. 5. Privada Santa Lucía.</t>
  </si>
  <si>
    <t>2018-PDM-0215-DM-06-030</t>
  </si>
  <si>
    <t>215</t>
  </si>
  <si>
    <t>Rehabilitación por Contingencia, Etapa 03./ Varias Calles  y Arroyos de la Ciudad, 1. Arroyo el Molino, Av. Constitución, Atrás de San Telmo. 2. Arroyo la Hacienda, Av. Constitución, Atrás del Hotel Marriot. 3. Crucero en Fracc. Lic. Benito Palomino Dena, Entre Blvd. Guadalupano y Calle Cultura Otomí.</t>
  </si>
  <si>
    <t>2018-PDM-0216-DM-06-031</t>
  </si>
  <si>
    <t>216</t>
  </si>
  <si>
    <t>Rehabilitación por Contingencia, Etapa 02. Varias Calles, Los Pericos Fracc.</t>
  </si>
  <si>
    <t>2018-PDM-0217-DM-06-032</t>
  </si>
  <si>
    <t>217</t>
  </si>
  <si>
    <t>Rehabilitación por Contingencia, Etapa 01. Varias Calles, Los Pericos Fracc.</t>
  </si>
  <si>
    <t>2018-PDM-0221-DM-06-033</t>
  </si>
  <si>
    <t>221</t>
  </si>
  <si>
    <t>Construcción de Muro en Parque Rios San Pedro. Parque Rios San Pedro.</t>
  </si>
  <si>
    <t>PTTO AUTORIZADO</t>
  </si>
  <si>
    <t>CONSTRUCCIONES ROLFE S.A. DE C.V.</t>
  </si>
  <si>
    <t>FORTAFIN-B-2018</t>
  </si>
  <si>
    <t>Seguridad Pública</t>
  </si>
  <si>
    <t xml:space="preserve">Metas                                                      U.M.   CANTIDAD      </t>
  </si>
  <si>
    <t xml:space="preserve">Federal </t>
  </si>
  <si>
    <t>Adquisición o Desarrollo Operación y Mantenimiento de Plataformas Eléctronicas. Consultoria Capacitación. Presidencia Municipal. Aguascalientes.</t>
  </si>
  <si>
    <t>PRESUPUESTO ASIGNADO</t>
  </si>
  <si>
    <t>PRESUPUESTO AUTORIZADO</t>
  </si>
  <si>
    <t>Oficio de Autorización</t>
  </si>
  <si>
    <t>Rehabilitación de la Red de Alcantarillado de la C. Mariano Azuela entre Belizario Dominguez y J. Isabel Robles Col. Insurgentes(MODIFICADO)</t>
  </si>
  <si>
    <t>051</t>
  </si>
  <si>
    <t>Construcción de Red de Alcantarillado en Calle Margaritas Comunidad Clavillito(MODIFICADO)</t>
  </si>
  <si>
    <t>2018-FISMDF-0110-001-01011-022</t>
  </si>
  <si>
    <t>Construcción de Red de Agua Potable en Calle Margaritas Comunidad Calvillito(MODIFICADO)</t>
  </si>
  <si>
    <t>Pavimento Hidraulico Calle Lazulita Norias de Ojocaliente(MODIFICADO)</t>
  </si>
  <si>
    <t>2018-FISMDF-0113-001-0411101-025</t>
  </si>
  <si>
    <t>Pavimento Hidraulico Calle Esmeralda Norias de Ojocaliente(MODIFICADO)</t>
  </si>
  <si>
    <t>Pavimento Hidraulico Calle Oro Norias de Ojocaliente(MODIFICADO)</t>
  </si>
  <si>
    <t>2018-FISMDF-0115-001-0411101-027</t>
  </si>
  <si>
    <t>Pavimento Hidraulico Calle Plata Norias de Ojocaliente(MODIFICADO)</t>
  </si>
  <si>
    <t>Rehabilitación de la Red de Alcantarillado de la Calle Julian Medina entre Belizario Dominguez y Av. Paseo de la Asunción Etapa 2 de la Colonia Insurgentes(MODIFICADO)</t>
  </si>
  <si>
    <t>0213</t>
  </si>
  <si>
    <t>SERV.PUB.</t>
  </si>
  <si>
    <t>2018-FISMDF-0210-1137-073</t>
  </si>
  <si>
    <t>0210</t>
  </si>
  <si>
    <t>Gastos Indirectos (SERVICIOS PUBLICOS) Aguascalientes Ags.</t>
  </si>
  <si>
    <t>EVALUACION</t>
  </si>
  <si>
    <t>787000</t>
  </si>
  <si>
    <t>SERVICIOS PERSONALES (1000)</t>
  </si>
  <si>
    <t>MATERIALES Y SUMINISTRO (2000)</t>
  </si>
  <si>
    <t>SERVICIOS GENERALES (3000)</t>
  </si>
  <si>
    <t>OBRA POR CONTRATO          (6000)</t>
  </si>
  <si>
    <t>MATERIALES Y  (2000)</t>
  </si>
  <si>
    <t>BIENES MUEBLES (5000)</t>
  </si>
  <si>
    <t>DEUDA PÚBLICA        (9000)</t>
  </si>
  <si>
    <t>APOYOS              (4000)</t>
  </si>
  <si>
    <r>
      <t xml:space="preserve">FORTAFIN </t>
    </r>
    <r>
      <rPr>
        <b/>
        <sz val="11"/>
        <rFont val="Futura Bk BT"/>
      </rPr>
      <t xml:space="preserve">C </t>
    </r>
    <r>
      <rPr>
        <sz val="11"/>
        <rFont val="Futura Bk BT"/>
        <family val="2"/>
      </rPr>
      <t>0207-2017</t>
    </r>
  </si>
  <si>
    <r>
      <t xml:space="preserve">FORTAFIN </t>
    </r>
    <r>
      <rPr>
        <b/>
        <sz val="11"/>
        <rFont val="Futura Bk BT"/>
      </rPr>
      <t xml:space="preserve">C </t>
    </r>
    <r>
      <rPr>
        <sz val="11"/>
        <rFont val="Futura Bk BT"/>
        <family val="2"/>
      </rPr>
      <t>0239-2017</t>
    </r>
  </si>
  <si>
    <t>Construccion de Guarniciones y Banquetas Calle Aquiles Serdan. / Tramo de Profesor Edmundo Gamez Orozco a Calle Libertad.</t>
  </si>
  <si>
    <t xml:space="preserve">DEPARTAMENTO DE CONTROL PRESUPUESTAL DE LA OBRA PUBLICA Y PROGRAMAS FEDERALES                                                                                                                                                                                  </t>
  </si>
  <si>
    <t>RAMO 23 FORTAFIN "B"</t>
  </si>
  <si>
    <r>
      <t xml:space="preserve">FORTAFIN </t>
    </r>
    <r>
      <rPr>
        <b/>
        <sz val="18"/>
        <color theme="1"/>
        <rFont val="Futura Bk BT"/>
      </rPr>
      <t xml:space="preserve">"C"  </t>
    </r>
  </si>
  <si>
    <r>
      <t>FORTAFIN</t>
    </r>
    <r>
      <rPr>
        <b/>
        <sz val="18"/>
        <color theme="1"/>
        <rFont val="Futura Bk BT"/>
      </rPr>
      <t xml:space="preserve"> "C" (uno al millar)</t>
    </r>
  </si>
  <si>
    <r>
      <t xml:space="preserve">FORTAFIN </t>
    </r>
    <r>
      <rPr>
        <b/>
        <sz val="18"/>
        <color theme="1"/>
        <rFont val="Futura Bk BT"/>
      </rPr>
      <t>(uno al millar)</t>
    </r>
  </si>
  <si>
    <r>
      <t xml:space="preserve">FORTAFIN </t>
    </r>
    <r>
      <rPr>
        <b/>
        <sz val="18"/>
        <color theme="1"/>
        <rFont val="Futura Bk BT"/>
      </rPr>
      <t>"B" (uno al millar)</t>
    </r>
  </si>
  <si>
    <r>
      <t>FORTAFIN</t>
    </r>
    <r>
      <rPr>
        <b/>
        <sz val="18"/>
        <color theme="1"/>
        <rFont val="Futura Bk BT"/>
      </rPr>
      <t xml:space="preserve"> "A"</t>
    </r>
  </si>
  <si>
    <r>
      <t>FORTAFIN</t>
    </r>
    <r>
      <rPr>
        <b/>
        <sz val="18"/>
        <color theme="1"/>
        <rFont val="Futura Bk BT"/>
      </rPr>
      <t xml:space="preserve"> "B"</t>
    </r>
  </si>
  <si>
    <r>
      <t xml:space="preserve">PRORE </t>
    </r>
    <r>
      <rPr>
        <b/>
        <sz val="18"/>
        <color theme="1"/>
        <rFont val="Futura Bk BT"/>
      </rPr>
      <t>2017-2018</t>
    </r>
  </si>
  <si>
    <r>
      <t xml:space="preserve">PRORE </t>
    </r>
    <r>
      <rPr>
        <b/>
        <sz val="18"/>
        <color theme="1"/>
        <rFont val="Futura Bk BT"/>
      </rPr>
      <t>2017-2018  (uno al millar)</t>
    </r>
  </si>
  <si>
    <r>
      <t xml:space="preserve">PRORE </t>
    </r>
    <r>
      <rPr>
        <b/>
        <sz val="18"/>
        <color theme="1"/>
        <rFont val="Futura Bk BT"/>
      </rPr>
      <t>2018</t>
    </r>
  </si>
  <si>
    <r>
      <t xml:space="preserve">FONDO NACIONAL EMPRENDEDOR </t>
    </r>
    <r>
      <rPr>
        <b/>
        <sz val="18"/>
        <color theme="1"/>
        <rFont val="Futura Bk BT"/>
      </rPr>
      <t>(FEDERAL)</t>
    </r>
  </si>
  <si>
    <r>
      <t xml:space="preserve">FONDO NACIONAL EMPRENDEDOR </t>
    </r>
    <r>
      <rPr>
        <b/>
        <sz val="18"/>
        <color theme="1"/>
        <rFont val="Futura Bk BT"/>
      </rPr>
      <t>(MUNICIPAL)</t>
    </r>
  </si>
  <si>
    <r>
      <t>HABITAT</t>
    </r>
    <r>
      <rPr>
        <b/>
        <sz val="18"/>
        <color theme="1"/>
        <rFont val="Futura Bk BT"/>
      </rPr>
      <t xml:space="preserve"> (MUNICIPAL)</t>
    </r>
  </si>
  <si>
    <r>
      <t xml:space="preserve">HABITAT </t>
    </r>
    <r>
      <rPr>
        <b/>
        <sz val="18"/>
        <color theme="1"/>
        <rFont val="Futura Bk BT"/>
      </rPr>
      <t>(FEDERAL)</t>
    </r>
  </si>
  <si>
    <r>
      <t xml:space="preserve">3 X 1 PARA MIGRANTES </t>
    </r>
    <r>
      <rPr>
        <b/>
        <sz val="18"/>
        <color theme="1"/>
        <rFont val="Futura Bk BT"/>
      </rPr>
      <t>(MUNICIPAL)</t>
    </r>
  </si>
  <si>
    <r>
      <t xml:space="preserve">3 X 1 PARA MIGRANTES </t>
    </r>
    <r>
      <rPr>
        <b/>
        <sz val="18"/>
        <color theme="1"/>
        <rFont val="Futura Bk BT"/>
      </rPr>
      <t>(FEDERAL)</t>
    </r>
  </si>
  <si>
    <r>
      <t xml:space="preserve">EMPLEO TEMPORAL </t>
    </r>
    <r>
      <rPr>
        <b/>
        <sz val="18"/>
        <color theme="1"/>
        <rFont val="Futura Bk BT"/>
      </rPr>
      <t>(FEDERAL)</t>
    </r>
  </si>
  <si>
    <r>
      <t xml:space="preserve">FORTASEG </t>
    </r>
    <r>
      <rPr>
        <b/>
        <sz val="18"/>
        <color theme="1"/>
        <rFont val="Futura Bk BT"/>
      </rPr>
      <t>(MUNICIPAL)</t>
    </r>
  </si>
  <si>
    <t>C.P. JOSE ALFREDO RAMIREZ PEREZ MALDONADO</t>
  </si>
  <si>
    <t>JEFA DEL DPTO. DE CONTROL PRESUPUESTAL DE LA OBRA PÚBLICA  Y PROGRAMAS FEDERALES</t>
  </si>
  <si>
    <t>PROGRAMAS SOCIALES</t>
  </si>
  <si>
    <t>RETENCIONES</t>
  </si>
  <si>
    <t>2017- 2018-PRORE-0228-002-0411101-001</t>
  </si>
  <si>
    <t>2017- 2018-PRORE-0229-001-0411101-002</t>
  </si>
  <si>
    <t>2017- 2018-PRORE-0230-001-030503-003</t>
  </si>
  <si>
    <t>2017- 2018-PRORE-0231-002-01137-004</t>
  </si>
  <si>
    <t>2018-PRORE-0117-0411204-001</t>
  </si>
  <si>
    <t>JOSMAR CONSTRUCCIONES S.A. DE C.V.</t>
  </si>
  <si>
    <t>FISMDF-CAP-21-2018</t>
  </si>
  <si>
    <t>GRUPO FUSION AGUASCALIENTES S.A. DE C.V.</t>
  </si>
  <si>
    <t>FISMDF-CAP-22-20108</t>
  </si>
  <si>
    <t>FISMDF-CAP-19-2018</t>
  </si>
  <si>
    <t>GERARDO VELASCO GONZALEZ</t>
  </si>
  <si>
    <t>FISMDF-CAP-16-2018</t>
  </si>
  <si>
    <t>FISMDF-CAP-17-2018</t>
  </si>
  <si>
    <t>FISMDF-CAP-18-2018</t>
  </si>
  <si>
    <t>HORACIO DE LIRA IBARRA</t>
  </si>
  <si>
    <t>FISMDF-0147-2018</t>
  </si>
  <si>
    <t>OLDA CONSTRUCCIONES S.A. DE C.V.</t>
  </si>
  <si>
    <t>FISMDF-0165-2018</t>
  </si>
  <si>
    <t>MUELLE CONSTRUCTORA S.A. DE C.V.</t>
  </si>
  <si>
    <t>FISMDF-0167-2018</t>
  </si>
  <si>
    <t>FISMDF-0173-2018</t>
  </si>
  <si>
    <t>LM4 POZOS Y CONSTRUCCION S.A. DE C.V.</t>
  </si>
  <si>
    <t>FISMDF-0175-2018</t>
  </si>
  <si>
    <t>FISMDF-0178-2018</t>
  </si>
  <si>
    <t>CONSTRUCTORA KANI S.A. DE C.V.</t>
  </si>
  <si>
    <t>FISMDF-0180-2018</t>
  </si>
  <si>
    <t>EDIFICACIONES RENACE S.A. DE C.V.</t>
  </si>
  <si>
    <t>FISMDF-0181-2018</t>
  </si>
  <si>
    <t>FISMDF-0184-2018</t>
  </si>
  <si>
    <t>CALIDAD INGENIERIAY SUPERVICION S.A. DE C.V.</t>
  </si>
  <si>
    <t>FISMDF-0185-2018</t>
  </si>
  <si>
    <t>FISMDF-0187-2018</t>
  </si>
  <si>
    <t>INENIARE CREATIVA S.A. DE C.V.</t>
  </si>
  <si>
    <t>FISMDF-0188-2018</t>
  </si>
  <si>
    <t>FISMDF-0205-2018</t>
  </si>
  <si>
    <t>FISMDF-0213-2018</t>
  </si>
  <si>
    <t>2018-FISMDF-0219-2018</t>
  </si>
  <si>
    <t>0219</t>
  </si>
  <si>
    <t>Instalación Electrica,Alumbrado General (Aereo) Andador Amatista entre Calle Coral y Calle Rubi Norias de Ojocaliente</t>
  </si>
  <si>
    <t>PIEZA</t>
  </si>
  <si>
    <t>0227</t>
  </si>
  <si>
    <t>0240</t>
  </si>
  <si>
    <t>0241</t>
  </si>
  <si>
    <t>IMPLAN</t>
  </si>
  <si>
    <t>2018-FISMDF-0242-1238-082</t>
  </si>
  <si>
    <t>0242</t>
  </si>
  <si>
    <t>Programa de Desarrollo Institucional (PRODIM-IMPLAN)</t>
  </si>
  <si>
    <t>280000</t>
  </si>
  <si>
    <t>0243</t>
  </si>
  <si>
    <t>2018-PDM-0018-006-DM-01-006</t>
  </si>
  <si>
    <t>2018-PDM-0019-004-DM-06-008</t>
  </si>
  <si>
    <t>2018-PDM-0022-003-DM-06-012</t>
  </si>
  <si>
    <t xml:space="preserve">2018-PDM-0024-003-IE-03-001 </t>
  </si>
  <si>
    <t>DM-0121-2018</t>
  </si>
  <si>
    <t>CNHICA DESARROLLO, S.A. DE C.V.</t>
  </si>
  <si>
    <t>DM-0123-2018</t>
  </si>
  <si>
    <t>RENOVADORA DE LA CONSTRUCCION DEL SURESTE, S.A. DE C.V.</t>
  </si>
  <si>
    <t>DM-0143-2018</t>
  </si>
  <si>
    <t>INGENIERIAS INTEGRALES DE AGUASCALIENTES, S.A. DE C.V.</t>
  </si>
  <si>
    <t>DM-0148-2018</t>
  </si>
  <si>
    <t>CONSTRUCCION INGENIERIA Y ELECTRIFICACION OLVERAN S. DE RL DE CV</t>
  </si>
  <si>
    <t>DM-0149-2018</t>
  </si>
  <si>
    <t>2018-PDM-0159-001-ID-01-009 FINAL</t>
  </si>
  <si>
    <t>DM-0206-2018</t>
  </si>
  <si>
    <t>INGENIERIA EN INTERCOMUNICACION TELEFONICA Y SONIDO, S.A. DE C.V.</t>
  </si>
  <si>
    <t>DM-0208-2018</t>
  </si>
  <si>
    <t>DM-0216-2018</t>
  </si>
  <si>
    <t>CONSTRUCCIONES Y TRANSPORTES ORO-MAR, S.A. DE C.V.</t>
  </si>
  <si>
    <t>DM-0217-2018</t>
  </si>
  <si>
    <t>2018-PDM-0220-UR-03-059</t>
  </si>
  <si>
    <t>220</t>
  </si>
  <si>
    <t xml:space="preserve">Reposición de Banquetas Etapa 03./ Varios Puntos de la Ciudad, Aguascalientes Mpio. </t>
  </si>
  <si>
    <t>2018-PDM-0225-DM-05-034</t>
  </si>
  <si>
    <t>225</t>
  </si>
  <si>
    <t>Mejoramiento de Techumbre en Áreas de Observación y Sacrificio./ Centro de Control, Atención y Bienestar Animal. Av. Alcaldes S/N, Luis Ortega Dougals Fracc.</t>
  </si>
  <si>
    <t>244</t>
  </si>
  <si>
    <t>ORACIO DE LIRA IBARRA</t>
  </si>
  <si>
    <t>FORTAFIN-A-0201-2018</t>
  </si>
  <si>
    <t>SECRETARIA DE FINANZAS PÚBLICAS</t>
  </si>
  <si>
    <t>DIRECCION DE EGRESOS</t>
  </si>
  <si>
    <t>DEPARTAMENTO DE CONTROL PRESUPUESTAL DE LA OBRA PÚBLICA Y PROGRAMAS FEDERALES</t>
  </si>
  <si>
    <t>RAMO 23 PRORE 2017-2018</t>
  </si>
  <si>
    <t xml:space="preserve">OBRA PÚBLICA </t>
  </si>
  <si>
    <t>DICIEMBRE</t>
  </si>
  <si>
    <t>2017/2018-PDM-008-0009-007-UR-05-008</t>
  </si>
  <si>
    <t>2018-PDM-0020-004-DM-05-009</t>
  </si>
  <si>
    <t>2018-PDM-0021-007-DM-06-011</t>
  </si>
  <si>
    <t>2018-PDM-0023-005-DM-05-013</t>
  </si>
  <si>
    <t>2018-PDM-0025-007-001-UR-05-017</t>
  </si>
  <si>
    <t>2018-PDM-0026-005-UR-05-018</t>
  </si>
  <si>
    <t>2018-PDM-0027-005-DM-06-014</t>
  </si>
  <si>
    <t>2018-PDM-0028-001-UR-05-032</t>
  </si>
  <si>
    <t>2018-PDM-0068-001-ID-01-004</t>
  </si>
  <si>
    <t>2018-PDM-0079-001-UR-04-040</t>
  </si>
  <si>
    <t>2018-PDM-0130-001-S5-02-003</t>
  </si>
  <si>
    <t>2018-PDM-0177-001-UR-03-056</t>
  </si>
  <si>
    <t>DM-0212-2018</t>
  </si>
  <si>
    <t>DM-0214-2018</t>
  </si>
  <si>
    <t>DM-0215-2018</t>
  </si>
  <si>
    <t>DM-0220-2018</t>
  </si>
  <si>
    <t>COTECO, S.A. DE C.V.</t>
  </si>
  <si>
    <t>DM-0221-2018</t>
  </si>
  <si>
    <t>J.JESUS BERNAL MARTINEZ</t>
  </si>
  <si>
    <t>DM-0225-2018</t>
  </si>
  <si>
    <t>2018-PDM-0245-UR-04-061</t>
  </si>
  <si>
    <t>245</t>
  </si>
  <si>
    <t>2018-PDM-0246-UR-04-062</t>
  </si>
  <si>
    <t>246</t>
  </si>
  <si>
    <t>2018-PDM-0247-UR-04-063</t>
  </si>
  <si>
    <t>247</t>
  </si>
  <si>
    <t>2018-PDM-0250-DM-05-035</t>
  </si>
  <si>
    <t>250</t>
  </si>
  <si>
    <t>MODULOS</t>
  </si>
  <si>
    <t>2018-PDM-0251-DM-05-036</t>
  </si>
  <si>
    <t>251</t>
  </si>
  <si>
    <t>2018-PDM-0252-DM-05-037</t>
  </si>
  <si>
    <t>252</t>
  </si>
  <si>
    <t>2018-PDM-0253-ID-01-014</t>
  </si>
  <si>
    <t>253</t>
  </si>
  <si>
    <t>2018-PDM-0254-DM-05-038</t>
  </si>
  <si>
    <t>254</t>
  </si>
  <si>
    <t>2018-PDM-0255-DM-05-039</t>
  </si>
  <si>
    <t>255</t>
  </si>
  <si>
    <t>2018-PDM-0256-ID-03-015</t>
  </si>
  <si>
    <t>256</t>
  </si>
  <si>
    <t>2018-PDM-0257-DM-05-040</t>
  </si>
  <si>
    <t>257</t>
  </si>
  <si>
    <t>2018-PDM-0258-DM-05-041</t>
  </si>
  <si>
    <t>258</t>
  </si>
  <si>
    <t>Construcción de Red de Agua Potable en las Calles Moroleón, Abasolo Barrio de Guanajuato, Comunidad Calvillito(MODIFICADO)</t>
  </si>
  <si>
    <t>2018-FISMDF-0041-002-02061-002</t>
  </si>
  <si>
    <t>2018-FISMDF-0048-003-02062-070</t>
  </si>
  <si>
    <t>2018-FISMDF-0049-002-02061-004</t>
  </si>
  <si>
    <t>2018-FISMDF-0050-003-02061-005</t>
  </si>
  <si>
    <t>2018-FISMDF-0051-002-02062-076</t>
  </si>
  <si>
    <t>Rehabilitación de la Red Alcantarillado Sanitario Av. Paseo de la Asunción entre Pozo Intermedio entre Abraham Gonzalez Av. Convención y calle Doroteo Arango Col. Insurgentes Etapa 2(MODIFICADO)</t>
  </si>
  <si>
    <t>2018-FISMDF-0085-004-02062-007</t>
  </si>
  <si>
    <t>2018-FISMDF-0087-003-02062-008</t>
  </si>
  <si>
    <t>2018-FISMDF-0089-003-02062-010</t>
  </si>
  <si>
    <t>2018-FISMDF-0090-003-02062-011</t>
  </si>
  <si>
    <t>2018-FISMDF-0101-001-05203-014</t>
  </si>
  <si>
    <t>Mejora de Alumbrado Público Colonia Los Pericos (Varias Calles)MODIFICADO</t>
  </si>
  <si>
    <t>2018-FISMDF-0102-001-05203-015</t>
  </si>
  <si>
    <t>Mejora de Alumbrado Público Colonia Anexo Palomino Dena(MODIFICADO</t>
  </si>
  <si>
    <t>2018-FISMDF-0103-001-05203-016</t>
  </si>
  <si>
    <t>Mejora de Alumbrado Público Colonia Palomino Dena ( Varias Calles)MODIFICADO</t>
  </si>
  <si>
    <t>2018-FISMDF-0106-002-01011-018</t>
  </si>
  <si>
    <t>2018-FISMDF-0107-002-02061-019</t>
  </si>
  <si>
    <t>2018-FISMDF-0108-002-02061-020</t>
  </si>
  <si>
    <t>2018-FISMDF-0109-002-01011-021</t>
  </si>
  <si>
    <t>2018-FISMDF-0112-002-0411101-024</t>
  </si>
  <si>
    <t>2018-FISMDF-0114-002-0411101-026</t>
  </si>
  <si>
    <t>2018-FISMDF-0132-002-08303-031</t>
  </si>
  <si>
    <t>Construcción de 30 Recamaras Adicionales en Igual Numero de Viviendas Zona 01 Varias Colonias de la Ciudad(MODIFICADO)</t>
  </si>
  <si>
    <t>2018-FISMDF-0133-002-08303-032</t>
  </si>
  <si>
    <t>Construcción de 36 Recamaras Adicionales en Igual Numero de Viviendas Zona 02 Varias Colonias de la Ciudad(MODIFICADO)</t>
  </si>
  <si>
    <t>2018-FISMDF-0134-002-08303-033</t>
  </si>
  <si>
    <t>Construcción de 35 Recamaras Adicionales en Igual Numero de Viviendas Zona 03 Varias Colonias de la Ciudad(MODIFICADO)</t>
  </si>
  <si>
    <t>2018-FISMDF-0135-002-08303-034</t>
  </si>
  <si>
    <t>Construcción de 36 Recamaras Adicionales en Igual Numero de Viviendas Zona 04 Varias Colonias de la Ciudad(MODIFICADO)</t>
  </si>
  <si>
    <t>2018-FISMDF-0136-002-08303-035</t>
  </si>
  <si>
    <t>Construcción de 20 Recamaras Adicionales en Igual Numero de Viviendas Zona 05 Varias Colonias de la Ciudad(MODIFICADO)</t>
  </si>
  <si>
    <t>2018-FISMDF-0137-002-08303-036</t>
  </si>
  <si>
    <t>Construcción de 27 Recamaras Adicionales en Igual Numero de Viviendas Zona 06 Varias Colonias de la Ciudad(MODIFICADO)</t>
  </si>
  <si>
    <t>2018-FISMDF-0138-002-08303-037</t>
  </si>
  <si>
    <t>Construcción de 25 Recamaras Adicionales en Igual Numero de Viviendas Zona 07 Varias Colonias de la Ciudad(MODIFICADO)</t>
  </si>
  <si>
    <t>2018-FISMDF-0139-002-08303-038</t>
  </si>
  <si>
    <t>Construcción de 34 Recamaras Adicionales en Igual Numero de Viviendas Zona 08 Varias Colonias de la Ciudad(MODIFICADO)</t>
  </si>
  <si>
    <t>2018-FISMDF-0140-002-08303-039</t>
  </si>
  <si>
    <t>Construcción de 30 Recamaras Adicionales en Igual Numero de Viviendas Zona 09 Varias Colonias de la Ciudad(MODIFICADO)</t>
  </si>
  <si>
    <t>2018-FISMDF-0141-002-08303-040</t>
  </si>
  <si>
    <t>Construcción de 27 Recamaras Adicionales en Igual Numero de Viviendas Zona 10 Varias Colonias de la Ciudad(MODIFICADO)</t>
  </si>
  <si>
    <t>2018-FISMDF-0144-002-08303-041</t>
  </si>
  <si>
    <t>Construcción de 39 Baños Adicionales  Zona 01-BA Varias Colonias de la Ciudad(MODIFICADO))</t>
  </si>
  <si>
    <t>2018-FISMDF-0146-002-08303-042</t>
  </si>
  <si>
    <t>2018-FISMDF-0147-001-08291-043</t>
  </si>
  <si>
    <t>Construcción de 19 Acciones de Piso Firme  Zona 01-PF Varias Colonias de la Ciudad(MODIFICADO)</t>
  </si>
  <si>
    <t>2018-FISMDF-0161-003-08303-044</t>
  </si>
  <si>
    <t>2018-FISMDF-0162-003-08303-045</t>
  </si>
  <si>
    <t>2018-FISMDF-0163-003-08303-046</t>
  </si>
  <si>
    <t>2018-FISMDF-0164-002-08303-047</t>
  </si>
  <si>
    <t>2018-FISMDF-0165-003-08303-048</t>
  </si>
  <si>
    <t>2018-FISMDF-0166-003-08303-049</t>
  </si>
  <si>
    <t>2018-FISMDF-0167-003-08303-050</t>
  </si>
  <si>
    <t>2018-FISMDF-0168-003-08303-051</t>
  </si>
  <si>
    <t>2018-FISMDF-0169-001-074215-052</t>
  </si>
  <si>
    <t>Mejoramiento de Escuela Telesecundaria N° 184 Martha Bernal Galvan C.San Miguel el Alto N° 124 Localidad San Jose de la Ordeña Aguascalientes(MODIFICADO)</t>
  </si>
  <si>
    <t>2018-FISMDF-0170-001-074215-053</t>
  </si>
  <si>
    <t>Mejoramiento de CECYTEA Plantel Ciudad Satelite Morelos Av. Aguascalientes Sur Esq. C.Chichen-Itza Morelos Fracc. 1a Seccion(MODIFICADO)</t>
  </si>
  <si>
    <t>2018-FISMDF-0171-001-074214-054</t>
  </si>
  <si>
    <t>Mejoramiento de Escuela Primaria Enrique Garcia Gallegos C.Rosalia Monroy Jose Lopez Portillo(MODIFICADO)</t>
  </si>
  <si>
    <t>2018-FISMDF-0173-001-074214-056</t>
  </si>
  <si>
    <t>Mejoramiento de Escuela Primaria Emiliano Zapata C. Miguel Hidalgo Localidad Salto de Ojocaliente(MODIFICADO)</t>
  </si>
  <si>
    <t>2018-FISMDF-0175-004-02062-058</t>
  </si>
  <si>
    <t>2018-FISMDF-0178-001-074215-059</t>
  </si>
  <si>
    <t>Mejoramiento de Escuela Secundaria General N° 1 " Lic. Benito Juárez" Calle Dr. Pedro de Alba N°357 Col. San Marcos(MODIFICADO)</t>
  </si>
  <si>
    <t>2018-FISMDF-0179-001-074215-060</t>
  </si>
  <si>
    <t>Mejoramiento de Escuela Secundaria General N° 6 " Jose Guadalupe Posada" Calle Capitan Diego Fernandez Villa N° 102 Bulevares Fracc. 1a Secc.(MODIFICADO)</t>
  </si>
  <si>
    <t>2018-FISMDF-0180-001-074215-061</t>
  </si>
  <si>
    <t>Mejoramiento de Escuela Secundaria General N° 41 "Nueva Generación" C.Villa de Lourdes N° 202 Villa  las Palmas(MODIFICADO)</t>
  </si>
  <si>
    <t>2018-FISMDF-0184-001-074214-063</t>
  </si>
  <si>
    <t>Mejoramiento de Escuela Primaria " Heroes de Granaditas " Calle el Terremoto S/N Ojocaliente Fracc. 1a Secc.(MODIFICADO)</t>
  </si>
  <si>
    <t>2018-FISMDF-0185-001-074214-064</t>
  </si>
  <si>
    <t>Mejoramiento de Escuela Primaria " Cuauhtemoc" Calle Sierra de las Grzas N° 412 Las Cumbres Fracc.(MODIFICADO)</t>
  </si>
  <si>
    <t>2018-FISMDF-0186-001-074215-065</t>
  </si>
  <si>
    <t>Mejoramiento de Centro de Atención Multiple Laboral N° 1 Prol. Alameda Esq. Av. Aguascalientes Ote. S/N Ejido Ojocaliente Fracc.(MODIFICADO)</t>
  </si>
  <si>
    <t>2018-FISMDF-0187-002-08302-066</t>
  </si>
  <si>
    <t>Construcción de 70 Techos Firmes ( Promedio 20.00M2) Zona 01 TF Varias Colonias Mpio. Aguascalientes(MODIFICADO)</t>
  </si>
  <si>
    <t>2018-FISMDF-0188-002-08302-067</t>
  </si>
  <si>
    <t>Construcción de 57 Techos Firmes ( Promedio 22.00M2) Zona 02 TF Varias Colonias Mpio. Aguascalientes(MODIFICADO)</t>
  </si>
  <si>
    <t>2018-FISMDF-0205-001-074215-071</t>
  </si>
  <si>
    <t>Mejoramiento de Escuela Centro de Atencion Multiple N° V C. Jardin de Zaragoza N° 608 Jardines de las Fuentes(MODIFICADO)</t>
  </si>
  <si>
    <t>2018-FISMDF-0213-001-08303-075</t>
  </si>
  <si>
    <t>Construcción de 21 Recamaras Adicionales en igual Numero de Viviendas Zona 11 Varias Colonias de la Ciudad(MODIFICADO)</t>
  </si>
  <si>
    <t>FISMDF-0219-2018</t>
  </si>
  <si>
    <t>2018-FISMDF-0227-001-2018</t>
  </si>
  <si>
    <t>Construcción de  13 Recamaras Adicionales en Igual Numero de Viviendas Zona 12(MODIFICADO)</t>
  </si>
  <si>
    <t>FISMDF-0227-2018</t>
  </si>
  <si>
    <t>2018-FISMDF-0240-001-2018</t>
  </si>
  <si>
    <t>Construcción de  13 Recamaras Adicionales en Igual Numero de Viviendas Zona 13(MODIFICADO)</t>
  </si>
  <si>
    <t>FISMDF-0240-2018</t>
  </si>
  <si>
    <t>2018-FISMDF-0241-001-2018</t>
  </si>
  <si>
    <t>Construcción de  13 Recamaras Adicionales en Igual Numero de Viviendas Zona 14(MODIFICADO)</t>
  </si>
  <si>
    <t>FISMDF-0241-2018</t>
  </si>
  <si>
    <t>2018-FISMDF-0126-001-1137-028</t>
  </si>
  <si>
    <t>Gastos Indirectos Contrato de Prestación de Servicios Profesionales, Kit de Lentes Canon Contrato por Servicio de Reparación y Mantenimiento de Equipos  de Trasnsporte Municipio Aguascalientes(MODIFICADO)</t>
  </si>
  <si>
    <t>2018-FISMDF-0127-001-08302-030</t>
  </si>
  <si>
    <t>Mi Hogar Corazón de Aguascalientes (Calentador Solar Fondo III) Varias Localidades Municipio Aguascalientes(MODIFICADO)</t>
  </si>
  <si>
    <t>LICITACION PUBLICA</t>
  </si>
  <si>
    <t>ZITUM DESARROLLADORES S.A. DE C.V.</t>
  </si>
  <si>
    <t>AD-060/2018</t>
  </si>
  <si>
    <t>2018-FISMDF-0145-001-1238-074</t>
  </si>
  <si>
    <t>Programa de Desarrollo Social Institucional(PRODIM-SEDESOM)MODIFICADO</t>
  </si>
  <si>
    <t>2018-FISMDF-0243-001-1238-083</t>
  </si>
  <si>
    <t>Programa de Desarrollo Institucional (PRODIM-SEDESOM)Acondicionamiento de Espacio Fisico Baños de Juan de Montoro 111 Zon Centro(MODIFICADO)</t>
  </si>
  <si>
    <t xml:space="preserve">RENDIMIENTOS </t>
  </si>
  <si>
    <t>2018-PDM-0259-001-DM-05-042</t>
  </si>
  <si>
    <t>0259</t>
  </si>
  <si>
    <t>2018-PDM-0260-DM-05-043</t>
  </si>
  <si>
    <t>0260</t>
  </si>
  <si>
    <t>2018-PDM-0261-001-DM-05-044</t>
  </si>
  <si>
    <t>0261</t>
  </si>
  <si>
    <t>2018-PDM-0262-DM-05-045</t>
  </si>
  <si>
    <t>0262</t>
  </si>
  <si>
    <t>Pavimento Hidraulico Blvd. Siglo XXI Tramo 05 de Calle Jose deJ. Rabago Ibarra a Calle Carlos Lopez Moctezuma(MODIFICADO)</t>
  </si>
  <si>
    <t>FORTAFIN-A-201-2018</t>
  </si>
  <si>
    <r>
      <t xml:space="preserve">2017/2018-PDM-001-0002-007-DM-06-001 </t>
    </r>
    <r>
      <rPr>
        <b/>
        <sz val="11"/>
        <rFont val="Futura Bk BT"/>
      </rPr>
      <t>FINAL</t>
    </r>
  </si>
  <si>
    <r>
      <t xml:space="preserve">2017/2018-PDM-002-0003-007-DM-05-002 </t>
    </r>
    <r>
      <rPr>
        <b/>
        <sz val="11"/>
        <rFont val="Futura Bk BT"/>
      </rPr>
      <t>FINAL</t>
    </r>
  </si>
  <si>
    <r>
      <t xml:space="preserve">2017/2018-PDM-004-0005-007-DM-06-004 </t>
    </r>
    <r>
      <rPr>
        <b/>
        <sz val="11"/>
        <rFont val="Futura Bk BT"/>
      </rPr>
      <t>FINAL</t>
    </r>
  </si>
  <si>
    <r>
      <t xml:space="preserve">2017/2018-PDM-006-0007-006-IE-03-006 </t>
    </r>
    <r>
      <rPr>
        <b/>
        <sz val="11"/>
        <rFont val="Futura Bk BT"/>
      </rPr>
      <t>FINAL</t>
    </r>
  </si>
  <si>
    <r>
      <t xml:space="preserve">2017/2018-PDM-007-0008-006-UR-05-007 </t>
    </r>
    <r>
      <rPr>
        <b/>
        <sz val="11"/>
        <rFont val="Futura Bk BT"/>
      </rPr>
      <t>FINAL</t>
    </r>
  </si>
  <si>
    <r>
      <t xml:space="preserve">2017/2018-PDM-009-0010-007-DM-06-010 </t>
    </r>
    <r>
      <rPr>
        <b/>
        <sz val="11"/>
        <rFont val="Futura Bk BT"/>
      </rPr>
      <t>FINAL</t>
    </r>
  </si>
  <si>
    <r>
      <t xml:space="preserve">2018-PDM-0013-001-UR-01-001 </t>
    </r>
    <r>
      <rPr>
        <b/>
        <sz val="11"/>
        <rFont val="Futura Bk BT"/>
      </rPr>
      <t>FINAL</t>
    </r>
  </si>
  <si>
    <r>
      <t xml:space="preserve">2018-PDM-0014-001-UR-01-002 </t>
    </r>
    <r>
      <rPr>
        <b/>
        <sz val="11"/>
        <rFont val="Futura Bk BT"/>
      </rPr>
      <t>FINAL</t>
    </r>
  </si>
  <si>
    <r>
      <t xml:space="preserve">2018-PDM-0015-001-UR-01-003 </t>
    </r>
    <r>
      <rPr>
        <b/>
        <sz val="11"/>
        <rFont val="Futura Bk BT"/>
      </rPr>
      <t>FINAL</t>
    </r>
  </si>
  <si>
    <r>
      <t xml:space="preserve">2018-PDM-0016-001-UR-01-004 </t>
    </r>
    <r>
      <rPr>
        <b/>
        <sz val="11"/>
        <rFont val="Futura Bk BT"/>
      </rPr>
      <t>FINAL</t>
    </r>
  </si>
  <si>
    <r>
      <t xml:space="preserve">2018-PDM-0017-001-UR-01-009 </t>
    </r>
    <r>
      <rPr>
        <b/>
        <sz val="11"/>
        <rFont val="Futura Bk BT"/>
      </rPr>
      <t>FINAL</t>
    </r>
  </si>
  <si>
    <r>
      <t xml:space="preserve">2018-PDM-0029-001-UR-01-013 </t>
    </r>
    <r>
      <rPr>
        <b/>
        <sz val="11"/>
        <rFont val="Futura Bk BT"/>
      </rPr>
      <t>FINAL</t>
    </r>
  </si>
  <si>
    <r>
      <t xml:space="preserve">2018-PDM-0030-001-UR-01-014 </t>
    </r>
    <r>
      <rPr>
        <b/>
        <sz val="11"/>
        <rFont val="Futura Bk BT"/>
      </rPr>
      <t>FINAL</t>
    </r>
  </si>
  <si>
    <r>
      <t xml:space="preserve">2018-PDM-0031-001-UR-01-015 </t>
    </r>
    <r>
      <rPr>
        <b/>
        <sz val="11"/>
        <rFont val="Futura Bk BT"/>
      </rPr>
      <t>FINAL</t>
    </r>
  </si>
  <si>
    <r>
      <t xml:space="preserve">2018-PDM-0032-001-UR-01-016 </t>
    </r>
    <r>
      <rPr>
        <b/>
        <sz val="11"/>
        <rFont val="Futura Bk BT"/>
      </rPr>
      <t>FINAL</t>
    </r>
  </si>
  <si>
    <r>
      <t xml:space="preserve">2018-PDM-0033-001-UR-05-010 </t>
    </r>
    <r>
      <rPr>
        <b/>
        <sz val="11"/>
        <rFont val="Futura Bk BT"/>
      </rPr>
      <t>FINAL</t>
    </r>
  </si>
  <si>
    <r>
      <t xml:space="preserve">2018-PDM-0034-001-UR-05-011 </t>
    </r>
    <r>
      <rPr>
        <b/>
        <sz val="11"/>
        <rFont val="Futura Bk BT"/>
      </rPr>
      <t>FINAL</t>
    </r>
  </si>
  <si>
    <r>
      <t xml:space="preserve">2018-PDM-0035-001-UR-05-012 </t>
    </r>
    <r>
      <rPr>
        <b/>
        <sz val="11"/>
        <rFont val="Futura Bk BT"/>
      </rPr>
      <t>FINAL</t>
    </r>
  </si>
  <si>
    <r>
      <t xml:space="preserve">2018-PDM-0044-001-UR-01-020 </t>
    </r>
    <r>
      <rPr>
        <b/>
        <sz val="11"/>
        <rFont val="Futura Bk BT"/>
      </rPr>
      <t>FINAL</t>
    </r>
  </si>
  <si>
    <r>
      <t xml:space="preserve">2018-PDM-0046-001-UR-01-022 </t>
    </r>
    <r>
      <rPr>
        <b/>
        <sz val="11"/>
        <rFont val="Futura Bk BT"/>
      </rPr>
      <t>FINAL</t>
    </r>
  </si>
  <si>
    <r>
      <t xml:space="preserve">2018-PDM-0052-001-UR-01-024 </t>
    </r>
    <r>
      <rPr>
        <b/>
        <sz val="11"/>
        <rFont val="Futura Bk BT"/>
      </rPr>
      <t>FINAL</t>
    </r>
  </si>
  <si>
    <r>
      <t xml:space="preserve">2018-PDM-0055-001-UR-01-027 </t>
    </r>
    <r>
      <rPr>
        <b/>
        <sz val="11"/>
        <rFont val="Futura Bk BT"/>
      </rPr>
      <t>FINAL</t>
    </r>
  </si>
  <si>
    <r>
      <t>2018-PDM-0056-001-UR-01-028</t>
    </r>
    <r>
      <rPr>
        <b/>
        <sz val="11"/>
        <rFont val="Futura Bk BT"/>
      </rPr>
      <t xml:space="preserve"> FINAL</t>
    </r>
  </si>
  <si>
    <r>
      <t xml:space="preserve">2018-PDM-0062-001-UR-05-029 </t>
    </r>
    <r>
      <rPr>
        <b/>
        <sz val="11"/>
        <rFont val="Futura Bk BT"/>
      </rPr>
      <t>FINAL</t>
    </r>
  </si>
  <si>
    <r>
      <t xml:space="preserve">2018-PDM-0063-001-UR-05-030 </t>
    </r>
    <r>
      <rPr>
        <b/>
        <sz val="11"/>
        <rFont val="Futura Bk BT"/>
      </rPr>
      <t>FINAL</t>
    </r>
  </si>
  <si>
    <r>
      <t xml:space="preserve">2018-PDM-0064-001-UR-01-031 </t>
    </r>
    <r>
      <rPr>
        <b/>
        <sz val="11"/>
        <rFont val="Futura Bk BT"/>
      </rPr>
      <t>FINAL</t>
    </r>
  </si>
  <si>
    <r>
      <t xml:space="preserve">2018-PDM-0065-001-ID-01-001 </t>
    </r>
    <r>
      <rPr>
        <b/>
        <sz val="11"/>
        <rFont val="Futura Bk BT"/>
      </rPr>
      <t>FINAL</t>
    </r>
  </si>
  <si>
    <r>
      <t xml:space="preserve">2018-PDM-0067-001-ID-03-003  </t>
    </r>
    <r>
      <rPr>
        <b/>
        <sz val="11"/>
        <rFont val="Futura Bk BT"/>
      </rPr>
      <t>FINAL</t>
    </r>
  </si>
  <si>
    <r>
      <t xml:space="preserve">Construcción de Skatorama, Parque Loma Bonita./ Loma Bonita Fracc. </t>
    </r>
    <r>
      <rPr>
        <b/>
        <sz val="11"/>
        <rFont val="Futura Bk BT"/>
      </rPr>
      <t>(Obra bianual)</t>
    </r>
  </si>
  <si>
    <r>
      <t xml:space="preserve">2018-PDM-0070-001-UR-04-034 </t>
    </r>
    <r>
      <rPr>
        <b/>
        <sz val="11"/>
        <rFont val="Futura Bk BT"/>
      </rPr>
      <t>FINAL</t>
    </r>
  </si>
  <si>
    <r>
      <t xml:space="preserve">2018-PDM-0071-001-UR-04-035 </t>
    </r>
    <r>
      <rPr>
        <b/>
        <sz val="11"/>
        <rFont val="Futura Bk BT"/>
      </rPr>
      <t>FINAL</t>
    </r>
  </si>
  <si>
    <r>
      <t xml:space="preserve">2018-PDM-0072-001-DM-05-026  </t>
    </r>
    <r>
      <rPr>
        <b/>
        <sz val="11"/>
        <rFont val="Futura Bk BT"/>
      </rPr>
      <t>FINAL</t>
    </r>
  </si>
  <si>
    <r>
      <t xml:space="preserve">2018-PDM-0073-001-ID-01-005 </t>
    </r>
    <r>
      <rPr>
        <b/>
        <sz val="11"/>
        <rFont val="Futura Bk BT"/>
      </rPr>
      <t>CANCELADA</t>
    </r>
  </si>
  <si>
    <r>
      <t xml:space="preserve">2018-PDM-0075-001-UR-04-037 </t>
    </r>
    <r>
      <rPr>
        <b/>
        <sz val="11"/>
        <rFont val="Futura Bk BT"/>
      </rPr>
      <t>FINAL</t>
    </r>
  </si>
  <si>
    <r>
      <t xml:space="preserve">2018-PDM-0076-001-UR-04-038  </t>
    </r>
    <r>
      <rPr>
        <b/>
        <sz val="11"/>
        <rFont val="Futura Bk BT"/>
      </rPr>
      <t>FINAL</t>
    </r>
  </si>
  <si>
    <r>
      <t xml:space="preserve">2018-PDM-0077-001-UR-04-039 </t>
    </r>
    <r>
      <rPr>
        <b/>
        <sz val="11"/>
        <rFont val="Futura Bk BT"/>
      </rPr>
      <t>FINAL</t>
    </r>
  </si>
  <si>
    <r>
      <t xml:space="preserve">2017/2018-PDM-0078-004-UR-05-005 </t>
    </r>
    <r>
      <rPr>
        <b/>
        <sz val="11"/>
        <rFont val="Futura Bk BT"/>
      </rPr>
      <t>FINAL</t>
    </r>
  </si>
  <si>
    <r>
      <t xml:space="preserve">2018-PDM-0081-001-S5-03-002 </t>
    </r>
    <r>
      <rPr>
        <b/>
        <sz val="11"/>
        <rFont val="Futura Bk BT"/>
      </rPr>
      <t>FINAL</t>
    </r>
  </si>
  <si>
    <r>
      <t xml:space="preserve">2018-PDM-0082-001-UR-04-041 </t>
    </r>
    <r>
      <rPr>
        <b/>
        <sz val="11"/>
        <rFont val="Futura Bk BT"/>
      </rPr>
      <t>CANCELADA</t>
    </r>
  </si>
  <si>
    <r>
      <t xml:space="preserve">2018-PDM-0083-001-UR-04-042 </t>
    </r>
    <r>
      <rPr>
        <b/>
        <sz val="11"/>
        <rFont val="Futura Bk BT"/>
      </rPr>
      <t>FINAL</t>
    </r>
  </si>
  <si>
    <r>
      <t xml:space="preserve">2018-PDM-0084-001-DM-05-016 </t>
    </r>
    <r>
      <rPr>
        <b/>
        <sz val="11"/>
        <rFont val="Futura Bk BT"/>
      </rPr>
      <t>FINAL</t>
    </r>
  </si>
  <si>
    <r>
      <t xml:space="preserve">2018-PDM-0086-001-ID-03-006 </t>
    </r>
    <r>
      <rPr>
        <b/>
        <sz val="11"/>
        <rFont val="Futura Bk BT"/>
      </rPr>
      <t>FINAL</t>
    </r>
  </si>
  <si>
    <r>
      <t xml:space="preserve">2018-PDM-0093-001-UR-04-043  </t>
    </r>
    <r>
      <rPr>
        <b/>
        <sz val="11"/>
        <rFont val="Futura Bk BT"/>
      </rPr>
      <t>FINAL</t>
    </r>
  </si>
  <si>
    <r>
      <t xml:space="preserve">2018-PDM-0094-001-UR-04-044  </t>
    </r>
    <r>
      <rPr>
        <b/>
        <sz val="11"/>
        <rFont val="Futura Bk BT"/>
      </rPr>
      <t>FINAL</t>
    </r>
  </si>
  <si>
    <r>
      <t xml:space="preserve">2018-PDM-0095-001-UR-04-045  </t>
    </r>
    <r>
      <rPr>
        <b/>
        <sz val="11"/>
        <rFont val="Futura Bk BT"/>
      </rPr>
      <t>FINAL</t>
    </r>
  </si>
  <si>
    <r>
      <t xml:space="preserve">2018-PDM-0096-001-UR-04-046 </t>
    </r>
    <r>
      <rPr>
        <b/>
        <sz val="11"/>
        <rFont val="Futura Bk BT"/>
      </rPr>
      <t>FINAL</t>
    </r>
  </si>
  <si>
    <r>
      <t xml:space="preserve">2018-PDM-0098-001-ID-03-007 </t>
    </r>
    <r>
      <rPr>
        <b/>
        <sz val="11"/>
        <rFont val="Futura Bk BT"/>
      </rPr>
      <t>FINAL</t>
    </r>
  </si>
  <si>
    <r>
      <t xml:space="preserve">2018-PDM-0099-001-ID-03-008 </t>
    </r>
    <r>
      <rPr>
        <b/>
        <sz val="11"/>
        <rFont val="Futura Bk BT"/>
      </rPr>
      <t>FINAL</t>
    </r>
  </si>
  <si>
    <r>
      <t xml:space="preserve">2018-PDM-0116-001-UR-03-048 </t>
    </r>
    <r>
      <rPr>
        <b/>
        <sz val="11"/>
        <rFont val="Futura Bk BT"/>
      </rPr>
      <t>FINAL</t>
    </r>
  </si>
  <si>
    <r>
      <t xml:space="preserve">2018-PDM-0121-001-UR-04-049  </t>
    </r>
    <r>
      <rPr>
        <b/>
        <sz val="11"/>
        <rFont val="Futura Bk BT"/>
      </rPr>
      <t>FINAL</t>
    </r>
  </si>
  <si>
    <r>
      <t xml:space="preserve">2018-PDM-0122-001-UR-04-050  </t>
    </r>
    <r>
      <rPr>
        <b/>
        <sz val="11"/>
        <rFont val="Futura Bk BT"/>
      </rPr>
      <t>FINAL</t>
    </r>
  </si>
  <si>
    <r>
      <t xml:space="preserve">2018-PDM-0123-001-UR-04-051  </t>
    </r>
    <r>
      <rPr>
        <b/>
        <sz val="11"/>
        <rFont val="Futura Bk BT"/>
      </rPr>
      <t>FINAL</t>
    </r>
  </si>
  <si>
    <r>
      <t xml:space="preserve">2018-PDM-0129-001-DM-05-017 </t>
    </r>
    <r>
      <rPr>
        <b/>
        <sz val="11"/>
        <rFont val="Futura Bk BT"/>
      </rPr>
      <t>FINAL</t>
    </r>
  </si>
  <si>
    <r>
      <t xml:space="preserve">Construcción de la Etapa 6 - A del Relleno Sanitario San Nicolás./ Kilómetro 9.3 Carretera a San Nicolás- José María Morelos </t>
    </r>
    <r>
      <rPr>
        <b/>
        <sz val="11"/>
        <rFont val="Futura Bk BT"/>
      </rPr>
      <t>(Obra bianual)</t>
    </r>
  </si>
  <si>
    <r>
      <t xml:space="preserve">Convivencia Ferroviaria Etapa II (Meta 01),  Construcción de Pavimento, Guarniciónes y Banquetas./ Av. Manuel Gómez Morín Cruce Calle Ezequiel A. Chávez Sur, Aguascalientes Mpio. </t>
    </r>
    <r>
      <rPr>
        <b/>
        <sz val="11"/>
        <rFont val="Futura Bk BT"/>
      </rPr>
      <t>(Obra bianual)</t>
    </r>
  </si>
  <si>
    <r>
      <t xml:space="preserve">Convivencia Ferroviaria Etapa II (Meta 02),  Señalización y Alumbrado Ornamental./ Av. Manuel Gómez Morín Cruce Ezequiel A. Chávez Sur, Aguascalientes Mpio. </t>
    </r>
    <r>
      <rPr>
        <b/>
        <sz val="11"/>
        <rFont val="Futura Bk BT"/>
      </rPr>
      <t>(Obra bianual)</t>
    </r>
  </si>
  <si>
    <r>
      <t xml:space="preserve">2018-PDM-0151-001-EA-01-005  </t>
    </r>
    <r>
      <rPr>
        <b/>
        <sz val="11"/>
        <rFont val="Futura Bk BT"/>
      </rPr>
      <t>FINAL</t>
    </r>
  </si>
  <si>
    <r>
      <t xml:space="preserve">2018-PDM-0152-001-EA-01-006  </t>
    </r>
    <r>
      <rPr>
        <b/>
        <sz val="11"/>
        <rFont val="Futura Bk BT"/>
      </rPr>
      <t>FINAL</t>
    </r>
  </si>
  <si>
    <r>
      <t xml:space="preserve">2018-PDM-0153-001-EA-01-007  </t>
    </r>
    <r>
      <rPr>
        <b/>
        <sz val="11"/>
        <rFont val="Futura Bk BT"/>
      </rPr>
      <t>FINAL</t>
    </r>
  </si>
  <si>
    <r>
      <t xml:space="preserve">2018-PDM-0176-001-UR-03-055  </t>
    </r>
    <r>
      <rPr>
        <b/>
        <sz val="11"/>
        <rFont val="Futura Bk BT"/>
      </rPr>
      <t>FINAL</t>
    </r>
  </si>
  <si>
    <r>
      <t>Convivencia Ferroviaria Etapa II (Meta03), Banquetas, Rampas y Andadores./ Tramo de Av. López Mateos a Ezequiel A. Chávez, Aguascalientes. Mpio.</t>
    </r>
    <r>
      <rPr>
        <b/>
        <sz val="11"/>
        <rFont val="Futura Bk BT"/>
      </rPr>
      <t>(Obra bianual)</t>
    </r>
  </si>
  <si>
    <r>
      <t xml:space="preserve">2018-PDM-0190-001-ID-01-010  </t>
    </r>
    <r>
      <rPr>
        <b/>
        <sz val="11"/>
        <rFont val="Futura Bk BT"/>
      </rPr>
      <t>FINAL</t>
    </r>
  </si>
  <si>
    <r>
      <t xml:space="preserve">2018-PDM-0191-001-UR-01-057  </t>
    </r>
    <r>
      <rPr>
        <b/>
        <sz val="11"/>
        <rFont val="Futura Bk BT"/>
      </rPr>
      <t>FINAL</t>
    </r>
  </si>
  <si>
    <r>
      <t xml:space="preserve">2018-PDM-0192-001-UR-01-058  </t>
    </r>
    <r>
      <rPr>
        <b/>
        <sz val="11"/>
        <rFont val="Futura Bk BT"/>
      </rPr>
      <t>FINAL</t>
    </r>
  </si>
  <si>
    <r>
      <t xml:space="preserve">Construcción de Barda Perimetral en Pensión Municipal./ Prol. Av. Héroe Inmortal S/N. Pensión Municipal, Aguascalientes Mpio. </t>
    </r>
    <r>
      <rPr>
        <b/>
        <sz val="11"/>
        <rFont val="Futura Bk BT"/>
      </rPr>
      <t>(Obra bianual)</t>
    </r>
  </si>
  <si>
    <r>
      <t xml:space="preserve">2018-PDM-0206-001-DM-05-027  </t>
    </r>
    <r>
      <rPr>
        <b/>
        <sz val="11"/>
        <rFont val="Futura Bk BT"/>
      </rPr>
      <t>FINAL</t>
    </r>
  </si>
  <si>
    <r>
      <t xml:space="preserve">2018-PDM-0208-001-DM-05-028  </t>
    </r>
    <r>
      <rPr>
        <b/>
        <sz val="11"/>
        <rFont val="Futura Bk BT"/>
      </rPr>
      <t>FINAL</t>
    </r>
  </si>
  <si>
    <r>
      <t>Rehabilitación de Alberca V.N.S.A. 1A Etapa./ Av. Poliducto S/N, Villa de Nuestra Señora de la Asunción.</t>
    </r>
    <r>
      <rPr>
        <b/>
        <sz val="11"/>
        <rFont val="Futura Bk BT"/>
      </rPr>
      <t xml:space="preserve"> (Obra bianual)</t>
    </r>
  </si>
  <si>
    <r>
      <t xml:space="preserve">2018-PDM-0212-001-IE-01-002  </t>
    </r>
    <r>
      <rPr>
        <b/>
        <sz val="11"/>
        <rFont val="Futura Bk BT"/>
      </rPr>
      <t>FINAL</t>
    </r>
  </si>
  <si>
    <r>
      <t xml:space="preserve">2017/2018-PDM-0226-003-UR-05-006 </t>
    </r>
    <r>
      <rPr>
        <b/>
        <sz val="11"/>
        <rFont val="Futura Bk BT"/>
      </rPr>
      <t>FINAL</t>
    </r>
  </si>
  <si>
    <r>
      <t xml:space="preserve">2017/2018-PDM-0234-003-DM-05-022 </t>
    </r>
    <r>
      <rPr>
        <b/>
        <sz val="11"/>
        <rFont val="Futura Bk BT"/>
      </rPr>
      <t>FINAL</t>
    </r>
  </si>
  <si>
    <r>
      <t xml:space="preserve">2017/2018-PDM-0236-003-DM-05-024 </t>
    </r>
    <r>
      <rPr>
        <b/>
        <sz val="11"/>
        <rFont val="Futura Bk BT"/>
      </rPr>
      <t>FINAL</t>
    </r>
  </si>
  <si>
    <r>
      <t xml:space="preserve">Parque Urbano (Baños). C. El Zarco S/N, Municipio  Libre Fracc. </t>
    </r>
    <r>
      <rPr>
        <b/>
        <sz val="11"/>
        <rFont val="Futura Bk BT"/>
      </rPr>
      <t>(Obra bianual)</t>
    </r>
  </si>
  <si>
    <r>
      <t xml:space="preserve">Regeneración de Glorieta Benito Juarez, Etapa 2, Av. Las Américas, Av. Ayuntamiento y Av. F. lizondo, Las Fuentes </t>
    </r>
    <r>
      <rPr>
        <b/>
        <sz val="11"/>
        <rFont val="Futura Bk BT"/>
      </rPr>
      <t>(Obra bianual)</t>
    </r>
  </si>
  <si>
    <r>
      <t>Regeneración, Glorieta La Purísisma, Etapa 2, La Purísima, Barrio.</t>
    </r>
    <r>
      <rPr>
        <b/>
        <sz val="11"/>
        <rFont val="Futura Bk BT"/>
      </rPr>
      <t xml:space="preserve"> (Obra bianual)</t>
    </r>
  </si>
  <si>
    <r>
      <t xml:space="preserve">Construcción y Rehabilitación Parque Constitución (Muros de Contención Lateral Norte) A. Constitución, Esq. Artículo 39, Constitución Facc. </t>
    </r>
    <r>
      <rPr>
        <b/>
        <sz val="11"/>
        <rFont val="Futura Bk BT"/>
      </rPr>
      <t>(Obra bianual)</t>
    </r>
  </si>
  <si>
    <r>
      <t xml:space="preserve">Rehabilitación de módulos de policia, Destacamiento Terán Sur, Aguascalientes Mpio. </t>
    </r>
    <r>
      <rPr>
        <b/>
        <sz val="11"/>
        <rFont val="Futura Bk BT"/>
      </rPr>
      <t>(Obra bianual)</t>
    </r>
  </si>
  <si>
    <r>
      <t xml:space="preserve">Rehabilitación de módulos de policia, Destacamiento Morelos, Aguascalientes Mpio. </t>
    </r>
    <r>
      <rPr>
        <b/>
        <sz val="11"/>
        <rFont val="Futura Bk BT"/>
      </rPr>
      <t>(Obra bianual)</t>
    </r>
  </si>
  <si>
    <r>
      <t xml:space="preserve">Construcción de cubierta tipo "B", Parque Ojocaliente I, Av. Aguascalientes, Esq. Calle Cotorinas, Ojocaliente Fracc. 1 secc. </t>
    </r>
    <r>
      <rPr>
        <b/>
        <sz val="11"/>
        <rFont val="Futura Bk BT"/>
      </rPr>
      <t>(Obra bianual)</t>
    </r>
  </si>
  <si>
    <r>
      <t>Remodelación y adecuación, Delegación Constitución, calle Artículo 21 y Av. Constitución Fracc.</t>
    </r>
    <r>
      <rPr>
        <b/>
        <sz val="11"/>
        <rFont val="Futura Bk BT"/>
      </rPr>
      <t xml:space="preserve"> (Obra bianual)</t>
    </r>
  </si>
  <si>
    <r>
      <t xml:space="preserve">Remodelación y adecuación, Delegación Guadalupe Peralta, Calle Desiderio Macias Silva, J. Guadalupe Peralta Gamez Fracc. </t>
    </r>
    <r>
      <rPr>
        <b/>
        <sz val="11"/>
        <rFont val="Futura Bk BT"/>
      </rPr>
      <t>(Obra bianual)</t>
    </r>
  </si>
  <si>
    <r>
      <t xml:space="preserve">Rehabilitación de cubierta en cancha de usos mútiples, Fidel Velazquez. </t>
    </r>
    <r>
      <rPr>
        <b/>
        <sz val="11"/>
        <rFont val="Futura Bk BT"/>
      </rPr>
      <t>(Obra bianual)</t>
    </r>
  </si>
  <si>
    <r>
      <t>Remodelación y Adecuación, Delegación Lomas del Ajedrez, Av. Poliducto y Av. Mariano Hidalgo, Lomas del Ajedrez Fracc.</t>
    </r>
    <r>
      <rPr>
        <b/>
        <sz val="11"/>
        <rFont val="Futura Bk BT"/>
      </rPr>
      <t xml:space="preserve"> (Obra bianual)</t>
    </r>
  </si>
  <si>
    <r>
      <t xml:space="preserve">Remodelación y Adecuación, Delegación Villas de Nuestra Señora de la Asunción, Calle Ermita de San Sebastian, Villa de Nuestra Señora de la Asunción, Sector Guadalupe, Fracc 1a. Secc. Lomas del Ajedrez, Av. Poliducto y Av. Mariano Hidalgo, Lomas del Ajedrez Fracc. </t>
    </r>
    <r>
      <rPr>
        <b/>
        <sz val="11"/>
        <rFont val="Futura Bk BT"/>
      </rPr>
      <t>(Obra bianual)</t>
    </r>
  </si>
  <si>
    <r>
      <t xml:space="preserve">Rehabilitación de Techumbre: Centro de Atención Municipal C.A.M. Av. Adolfo López Mateos .Col. Obraje </t>
    </r>
    <r>
      <rPr>
        <b/>
        <sz val="11"/>
        <rFont val="Futura Bk BT"/>
      </rPr>
      <t>(Obra bianual)</t>
    </r>
  </si>
  <si>
    <r>
      <t xml:space="preserve">Rehabilitación de Locales Comerciales: Centro de Atención Municipal C.A.M. Av. Adolfo López Mateos , Col. Obraje. </t>
    </r>
    <r>
      <rPr>
        <b/>
        <sz val="11"/>
        <rFont val="Futura Bk BT"/>
      </rPr>
      <t>(Obra bianual)</t>
    </r>
  </si>
  <si>
    <r>
      <t xml:space="preserve">Rehabilitación de Fachadae: Centro de Atención Municipal C.A.M. Av. Adolfo López Mateos .Col. Obraje. </t>
    </r>
    <r>
      <rPr>
        <b/>
        <sz val="11"/>
        <rFont val="Futura Bk BT"/>
      </rPr>
      <t>(Obra bianual)</t>
    </r>
  </si>
  <si>
    <r>
      <t>Construcción de Servicios Sanitario: Centro de Atención Municipal C.A.M. Av. Adolfo López Mateos .Col. Obraje.</t>
    </r>
    <r>
      <rPr>
        <b/>
        <sz val="11"/>
        <rFont val="Futura Bk BT"/>
      </rPr>
      <t xml:space="preserve"> (Obra bianual)</t>
    </r>
  </si>
  <si>
    <t>_____</t>
  </si>
  <si>
    <t>_________</t>
  </si>
  <si>
    <t>________</t>
  </si>
  <si>
    <t>__________</t>
  </si>
  <si>
    <t>____</t>
  </si>
  <si>
    <r>
      <rPr>
        <sz val="12"/>
        <color theme="0"/>
        <rFont val="Calibri"/>
        <family val="2"/>
      </rPr>
      <t xml:space="preserve"> </t>
    </r>
    <r>
      <rPr>
        <sz val="10"/>
        <color theme="0"/>
        <rFont val="Calibri"/>
        <family val="2"/>
      </rPr>
      <t xml:space="preserve">                                                                                 </t>
    </r>
    <r>
      <rPr>
        <sz val="11"/>
        <color theme="0"/>
        <rFont val="Calibri"/>
        <family val="2"/>
        <scheme val="minor"/>
      </rPr>
      <t xml:space="preserve">                                                                                                                                                                </t>
    </r>
    <r>
      <rPr>
        <sz val="14"/>
        <color theme="0"/>
        <rFont val="Calibri"/>
        <family val="2"/>
        <scheme val="minor"/>
      </rPr>
      <t xml:space="preserve"> </t>
    </r>
    <r>
      <rPr>
        <b/>
        <sz val="14"/>
        <color theme="0"/>
        <rFont val="Calibri"/>
        <family val="2"/>
        <scheme val="minor"/>
      </rPr>
      <t>RAMO 23 FORTAFIN "A"</t>
    </r>
  </si>
  <si>
    <t>PPTO AUTORIZADO</t>
  </si>
  <si>
    <t>SDSH-121-I-071-A-02-2018-PET</t>
  </si>
  <si>
    <t>8PET01011693</t>
  </si>
  <si>
    <t>LIMPIEZA Y REHABILITACIÓN DE ÁREAS PÚBLICAS EN EL MUNIICPIO AGUASCALIENTES</t>
  </si>
  <si>
    <t>___</t>
  </si>
  <si>
    <t xml:space="preserve"> M2</t>
  </si>
  <si>
    <t>8PET01011687</t>
  </si>
  <si>
    <t>IMPERMEABILIZACIÓN DE 50 VIVIENDAS EN LA LOCALIDAD DE AGUASCALIENTES, AGUASCALIENTES</t>
  </si>
  <si>
    <t>VIVIENDAS</t>
  </si>
  <si>
    <t>I/121/CI/HABITAT/3239/BIS4/2018</t>
  </si>
  <si>
    <t>8PET01011809</t>
  </si>
  <si>
    <t>PINTURA DE FACHADAS EN VIVIENDAS EN LA LOCALIDAD AGUASCALIENTES, AGUASCALIENTES</t>
  </si>
  <si>
    <t>Nota: El importe del ejercido de la obra del directo municipal, incluye $795,193 de finiquitos</t>
  </si>
  <si>
    <r>
      <t>Restructuración y homologación salarial de los elementos policiales</t>
    </r>
    <r>
      <rPr>
        <b/>
        <sz val="11"/>
        <rFont val="Futura Bk BT"/>
      </rPr>
      <t xml:space="preserve"> (coparticipación municipal)</t>
    </r>
  </si>
  <si>
    <r>
      <t>FORTASEG</t>
    </r>
    <r>
      <rPr>
        <b/>
        <sz val="18"/>
        <color theme="1"/>
        <rFont val="Futura Bk BT"/>
      </rPr>
      <t xml:space="preserve"> (FEDERAL) </t>
    </r>
    <r>
      <rPr>
        <sz val="18"/>
        <color theme="1"/>
        <rFont val="Futura Bk BT"/>
      </rPr>
      <t>Incluye rendimientos financiero de $198,193.00</t>
    </r>
  </si>
  <si>
    <r>
      <t>FISM-DF Incluye rendimientos  financieros de</t>
    </r>
    <r>
      <rPr>
        <b/>
        <sz val="18"/>
        <color theme="1"/>
        <rFont val="Futura Bk BT"/>
      </rPr>
      <t xml:space="preserve"> $121,037</t>
    </r>
  </si>
  <si>
    <t>2018-PDM-0244-UR-04-060</t>
  </si>
  <si>
    <r>
      <t xml:space="preserve">FORTAMUN-DF Incluye rendimientos financieros de </t>
    </r>
    <r>
      <rPr>
        <b/>
        <sz val="18"/>
        <color theme="1"/>
        <rFont val="Futura Bk BT"/>
      </rPr>
      <t>$820,741</t>
    </r>
  </si>
  <si>
    <r>
      <t>FORTAFIN</t>
    </r>
    <r>
      <rPr>
        <b/>
        <sz val="18"/>
        <color theme="1"/>
        <rFont val="Futura Bk BT"/>
      </rPr>
      <t xml:space="preserve"> "A" (uno al millar)</t>
    </r>
  </si>
  <si>
    <r>
      <t xml:space="preserve">FORTAFIN "B" </t>
    </r>
    <r>
      <rPr>
        <b/>
        <sz val="18"/>
        <color theme="1"/>
        <rFont val="Futura Bk BT"/>
      </rPr>
      <t>(uno al millar)</t>
    </r>
  </si>
  <si>
    <r>
      <t xml:space="preserve">Mantenimiento y Mejoramiento de Areas Verdes en el Municipio de Aguascalientes./ Varios Puntos de la Ciudad </t>
    </r>
    <r>
      <rPr>
        <b/>
        <sz val="11"/>
        <rFont val="Futura Bk BT"/>
      </rPr>
      <t>(obra bianual)</t>
    </r>
  </si>
  <si>
    <t>ENTIDAD FEDERATIVA  MUNICIPIO AGUASCALIENTES</t>
  </si>
  <si>
    <t>31 DE DICIEMBRE 2018</t>
  </si>
  <si>
    <t xml:space="preserve">ENTIDAD FEDERATIVA  MUNICIPIO AGUASCALIENTES                                                                                  </t>
  </si>
  <si>
    <t xml:space="preserve"> SECRETARIA DE FINANZAS PUBLICAS    </t>
  </si>
  <si>
    <t>ENTIDAD FEDERATIVA   MUNICIPIO AGUASCALIENTES</t>
  </si>
  <si>
    <t xml:space="preserve">SECRETARIA DE FINANZAS PUBLICAS </t>
  </si>
  <si>
    <t>SECRETARÍA DE FINANZAS PÚBLICAS</t>
  </si>
  <si>
    <t>SECRETARIA DE FINANZAS PUBLICAS</t>
  </si>
  <si>
    <r>
      <t xml:space="preserve">                      </t>
    </r>
    <r>
      <rPr>
        <b/>
        <sz val="14"/>
        <color theme="0"/>
        <rFont val="Calibri"/>
        <family val="2"/>
      </rPr>
      <t xml:space="preserve">DEPARTAMENTO DE CONTROL PRESUPUESTAL DE LA OBRA PUBLICA Y PROGRAMAS FEDERALES          </t>
    </r>
    <r>
      <rPr>
        <b/>
        <sz val="14"/>
        <color theme="0"/>
        <rFont val="Calibri"/>
        <family val="2"/>
        <scheme val="minor"/>
      </rPr>
      <t xml:space="preserve">                                                                                                                                                                                                         EMPLEO TEMPORAL 2018</t>
    </r>
  </si>
  <si>
    <r>
      <rPr>
        <b/>
        <sz val="14"/>
        <color theme="0"/>
        <rFont val="Calibri"/>
        <family val="2"/>
      </rPr>
      <t>SECRETARIA DE FINANZAS PUBLICAS</t>
    </r>
    <r>
      <rPr>
        <b/>
        <sz val="14"/>
        <color theme="0"/>
        <rFont val="Calibri"/>
        <family val="2"/>
        <scheme val="minor"/>
      </rPr>
      <t xml:space="preserve">    </t>
    </r>
  </si>
  <si>
    <r>
      <rPr>
        <b/>
        <sz val="14"/>
        <color theme="0"/>
        <rFont val="Calibri"/>
        <family val="2"/>
      </rPr>
      <t>SECRETARIA DE FINANZAS PUBLICAS</t>
    </r>
    <r>
      <rPr>
        <b/>
        <sz val="14"/>
        <color theme="0"/>
        <rFont val="Calibri"/>
        <family val="2"/>
        <scheme val="minor"/>
      </rPr>
      <t xml:space="preserve">                                                                                                                                                                                                                                                                                                                                                                                                                                                                                                                                                                                                                                                                     DIRECCION DE EGRESOS</t>
    </r>
  </si>
  <si>
    <r>
      <t xml:space="preserve">                      </t>
    </r>
    <r>
      <rPr>
        <b/>
        <sz val="14"/>
        <color theme="0"/>
        <rFont val="Calibri"/>
        <family val="2"/>
      </rPr>
      <t xml:space="preserve">DEPARTAMENTO DE CONTROL PRESUPUESTAL DE LA OBRA PUBLICA Y PROGRAMAS FEDERALES                                                                                                                                                      </t>
    </r>
    <r>
      <rPr>
        <b/>
        <sz val="14"/>
        <color theme="0"/>
        <rFont val="Calibri"/>
        <family val="2"/>
        <scheme val="minor"/>
      </rPr>
      <t xml:space="preserve">                                                                                                                                                                                                         3X1 MIGRANTES 2018</t>
    </r>
  </si>
  <si>
    <t>DEPARTAMENTO DE CONTROL PRESUPUESTAL DE LA OBRA PUBLICA Y PROGRAMAS FEDERALES                                                                                                                                                                                                                                                                                                                                                                                                                    FONDO NACIONAL EMPRENDEDOR 2018 ( FNE)</t>
  </si>
  <si>
    <t xml:space="preserve">DEPARTAMENTO DE CONTROL PRESUPUESTAL DE LA OBRA PÚBLICA Y PROGRAMAS FEDERALES                                                                                                                                                                                                                                                                                                                                                                                                                    </t>
  </si>
  <si>
    <t>DEPARTAMENTO DE CONTROL PRESUPUESTAL DE LA OBRA PUBLICA Y PROGRAMAS FEDERALES                                                                                                                                                                                                                                                                                                                                                                                                                    PROGRAMA DIRECTO MUNICIPAL (PDM)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</si>
</sst>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Red]\-#,##0\ "/>
    <numFmt numFmtId="167" formatCode="#,##0.000"/>
    <numFmt numFmtId="168" formatCode="#,##0.000000000_ ;[Red]\-#,##0.000000000\ "/>
  </numFmts>
  <fonts count="88">
    <font>
      <sz val="11"/>
      <color theme="1"/>
      <name val="Calibri"/>
      <family val="2"/>
      <scheme val="minor"/>
    </font>
    <font>
      <sz val="11"/>
      <color theme="1"/>
      <name val="Calibri"/>
      <family val="2"/>
      <scheme val="minor"/>
    </font>
    <font>
      <b/>
      <sz val="11"/>
      <color theme="1"/>
      <name val="Calibri"/>
      <family val="2"/>
      <scheme val="minor"/>
    </font>
    <font>
      <b/>
      <sz val="12"/>
      <color indexed="9"/>
      <name val="Futura LtCn BT"/>
      <family val="2"/>
    </font>
    <font>
      <b/>
      <sz val="10"/>
      <color theme="0"/>
      <name val="Comic Sans MS"/>
      <family val="4"/>
    </font>
    <font>
      <b/>
      <sz val="16"/>
      <color theme="0"/>
      <name val="Calibri"/>
      <family val="2"/>
      <scheme val="minor"/>
    </font>
    <font>
      <b/>
      <sz val="16"/>
      <color indexed="9"/>
      <name val="Calibri"/>
      <family val="2"/>
    </font>
    <font>
      <sz val="11"/>
      <color indexed="9"/>
      <name val="Calibri"/>
      <family val="2"/>
    </font>
    <font>
      <b/>
      <sz val="14"/>
      <color indexed="9"/>
      <name val="Calibri"/>
      <family val="2"/>
    </font>
    <font>
      <sz val="10"/>
      <name val="Comic Sans MS"/>
      <family val="4"/>
    </font>
    <font>
      <sz val="10"/>
      <name val="Futura Hv BT"/>
      <family val="2"/>
    </font>
    <font>
      <b/>
      <i/>
      <sz val="12"/>
      <color indexed="9"/>
      <name val="Futura Hv BT"/>
      <family val="2"/>
    </font>
    <font>
      <b/>
      <sz val="10"/>
      <name val="Futura BdCn BT"/>
      <family val="2"/>
    </font>
    <font>
      <b/>
      <sz val="10"/>
      <name val="Futura BdCn BT"/>
    </font>
    <font>
      <sz val="10"/>
      <name val="NewsGoth"/>
      <family val="2"/>
    </font>
    <font>
      <sz val="8"/>
      <name val="Futura Bk BT"/>
      <family val="2"/>
    </font>
    <font>
      <b/>
      <sz val="10"/>
      <name val="Futura Bk BT"/>
      <family val="2"/>
    </font>
    <font>
      <sz val="10"/>
      <name val="Futura Bk BT"/>
      <family val="2"/>
    </font>
    <font>
      <b/>
      <i/>
      <sz val="10"/>
      <name val="Futura Bk BT"/>
      <family val="2"/>
    </font>
    <font>
      <sz val="8"/>
      <name val="NewsGoth"/>
      <family val="2"/>
    </font>
    <font>
      <b/>
      <sz val="8"/>
      <name val="Futura Hv BT"/>
      <family val="2"/>
    </font>
    <font>
      <sz val="7"/>
      <name val="Futura Bk BT"/>
      <family val="2"/>
    </font>
    <font>
      <b/>
      <sz val="10"/>
      <name val="Futura Bk BT"/>
    </font>
    <font>
      <sz val="7"/>
      <name val="Futura Bk BT"/>
    </font>
    <font>
      <b/>
      <sz val="7"/>
      <name val="Futura Bk BT"/>
    </font>
    <font>
      <b/>
      <sz val="8"/>
      <name val="Futura Bk BT"/>
    </font>
    <font>
      <b/>
      <sz val="14"/>
      <color theme="0"/>
      <name val="Calibri"/>
      <family val="2"/>
      <scheme val="minor"/>
    </font>
    <font>
      <sz val="14"/>
      <color theme="0"/>
      <name val="Calibri"/>
      <family val="2"/>
      <scheme val="minor"/>
    </font>
    <font>
      <sz val="11"/>
      <color theme="1"/>
      <name val="Futura Bk BT"/>
    </font>
    <font>
      <b/>
      <sz val="11"/>
      <color theme="1"/>
      <name val="Futura Bk BT"/>
    </font>
    <font>
      <b/>
      <sz val="10"/>
      <color theme="1"/>
      <name val="Futura Bk BT"/>
    </font>
    <font>
      <sz val="8"/>
      <name val="Futura Bk BT"/>
    </font>
    <font>
      <sz val="8"/>
      <name val="Comic Sans MS"/>
      <family val="4"/>
    </font>
    <font>
      <sz val="8"/>
      <color theme="1"/>
      <name val="Calibri"/>
      <family val="2"/>
      <scheme val="minor"/>
    </font>
    <font>
      <sz val="8"/>
      <name val="Futura BdCn BT"/>
    </font>
    <font>
      <sz val="14"/>
      <color indexed="9"/>
      <name val="Calibri"/>
      <family val="2"/>
    </font>
    <font>
      <sz val="8"/>
      <name val="Futura Hv BT"/>
      <family val="2"/>
    </font>
    <font>
      <sz val="10"/>
      <name val="Futura BdCn BT"/>
      <family val="2"/>
    </font>
    <font>
      <b/>
      <sz val="10"/>
      <color theme="1"/>
      <name val="Calibri"/>
      <family val="2"/>
      <scheme val="minor"/>
    </font>
    <font>
      <b/>
      <i/>
      <sz val="11"/>
      <color indexed="9"/>
      <name val="Futura Hv BT"/>
      <family val="2"/>
    </font>
    <font>
      <b/>
      <sz val="14"/>
      <color theme="0"/>
      <name val="Calibri"/>
      <family val="2"/>
    </font>
    <font>
      <b/>
      <sz val="11"/>
      <color theme="0"/>
      <name val="Calibri"/>
      <family val="2"/>
      <scheme val="minor"/>
    </font>
    <font>
      <sz val="11"/>
      <color theme="0"/>
      <name val="Calibri"/>
      <family val="2"/>
      <scheme val="minor"/>
    </font>
    <font>
      <sz val="12"/>
      <color theme="0"/>
      <name val="Calibri"/>
      <family val="2"/>
    </font>
    <font>
      <sz val="10"/>
      <color theme="0"/>
      <name val="Calibri"/>
      <family val="2"/>
    </font>
    <font>
      <b/>
      <sz val="12"/>
      <color theme="1"/>
      <name val="Futura Bk BT"/>
    </font>
    <font>
      <sz val="14"/>
      <color theme="1"/>
      <name val="Calibri"/>
      <family val="2"/>
      <scheme val="minor"/>
    </font>
    <font>
      <b/>
      <sz val="11"/>
      <name val="Futura Bk BT"/>
    </font>
    <font>
      <sz val="16"/>
      <color theme="1"/>
      <name val="Futura Bk BT"/>
    </font>
    <font>
      <b/>
      <sz val="20"/>
      <color indexed="9"/>
      <name val="Calibri Light"/>
      <family val="2"/>
      <scheme val="major"/>
    </font>
    <font>
      <b/>
      <sz val="20"/>
      <color theme="0"/>
      <name val="Calibri Light"/>
      <family val="2"/>
      <scheme val="major"/>
    </font>
    <font>
      <b/>
      <sz val="12"/>
      <name val="Futura Bk BT"/>
      <family val="2"/>
    </font>
    <font>
      <sz val="12"/>
      <name val="NewsGoth"/>
      <family val="2"/>
    </font>
    <font>
      <b/>
      <i/>
      <sz val="12"/>
      <name val="Futura Bk BT"/>
      <family val="2"/>
    </font>
    <font>
      <b/>
      <sz val="14"/>
      <color theme="1"/>
      <name val="Calibri"/>
      <family val="2"/>
      <scheme val="minor"/>
    </font>
    <font>
      <sz val="14"/>
      <color theme="1"/>
      <name val="Futura Bk BT"/>
    </font>
    <font>
      <b/>
      <sz val="9"/>
      <name val="Futura BdCn BT"/>
      <family val="2"/>
    </font>
    <font>
      <sz val="9"/>
      <name val="NewsGoth"/>
      <family val="2"/>
    </font>
    <font>
      <sz val="11"/>
      <name val="Futura Bk BT"/>
      <family val="2"/>
    </font>
    <font>
      <sz val="11"/>
      <name val="Futura BdCn BT"/>
    </font>
    <font>
      <b/>
      <sz val="11"/>
      <name val="Futura Bk BT"/>
      <family val="2"/>
    </font>
    <font>
      <b/>
      <sz val="11"/>
      <name val="Futura BdCn BT"/>
      <family val="2"/>
    </font>
    <font>
      <sz val="11"/>
      <name val="NewsGoth"/>
      <family val="2"/>
    </font>
    <font>
      <b/>
      <sz val="9"/>
      <name val="Futura Hv BT"/>
      <family val="2"/>
    </font>
    <font>
      <b/>
      <sz val="10"/>
      <name val="Futura Hv BT"/>
      <family val="2"/>
    </font>
    <font>
      <sz val="11"/>
      <name val="Futura Bk BT"/>
    </font>
    <font>
      <sz val="12"/>
      <name val="Futura Bk BT"/>
    </font>
    <font>
      <b/>
      <i/>
      <sz val="11"/>
      <name val="Futura Bk BT"/>
      <family val="2"/>
    </font>
    <font>
      <sz val="9"/>
      <color theme="1"/>
      <name val="Calibri"/>
      <family val="2"/>
      <scheme val="minor"/>
    </font>
    <font>
      <sz val="10"/>
      <color theme="1"/>
      <name val="Calibri"/>
      <family val="2"/>
      <scheme val="minor"/>
    </font>
    <font>
      <sz val="12"/>
      <color theme="1"/>
      <name val="Futura Bk BT"/>
    </font>
    <font>
      <sz val="9"/>
      <color theme="1"/>
      <name val="Futura Bk BT"/>
    </font>
    <font>
      <sz val="11"/>
      <name val="FUTURA BAK"/>
    </font>
    <font>
      <b/>
      <sz val="11"/>
      <name val="FUTURA BAK"/>
    </font>
    <font>
      <sz val="18"/>
      <color theme="1"/>
      <name val="Futura Bk BT"/>
    </font>
    <font>
      <sz val="18"/>
      <color theme="1"/>
      <name val="Calibri"/>
      <family val="2"/>
      <scheme val="minor"/>
    </font>
    <font>
      <b/>
      <sz val="18"/>
      <color theme="1"/>
      <name val="Futura Bk BT"/>
    </font>
    <font>
      <b/>
      <sz val="18"/>
      <name val="Futura Bk BT"/>
    </font>
    <font>
      <b/>
      <sz val="18"/>
      <color theme="1"/>
      <name val="Calibri"/>
      <family val="2"/>
      <scheme val="minor"/>
    </font>
    <font>
      <b/>
      <sz val="16"/>
      <color theme="1"/>
      <name val="Futura Bk BT"/>
    </font>
    <font>
      <sz val="9"/>
      <color indexed="81"/>
      <name val="Tahoma"/>
      <family val="2"/>
    </font>
    <font>
      <b/>
      <sz val="9"/>
      <color indexed="81"/>
      <name val="Tahoma"/>
      <family val="2"/>
    </font>
    <font>
      <b/>
      <sz val="10"/>
      <name val="Futura Hv BT"/>
    </font>
    <font>
      <b/>
      <i/>
      <sz val="11"/>
      <name val="Futura Bk BT"/>
    </font>
    <font>
      <sz val="10"/>
      <color theme="1"/>
      <name val="Futura Bk BT"/>
    </font>
    <font>
      <b/>
      <sz val="20"/>
      <color theme="1"/>
      <name val="Calibri"/>
      <family val="2"/>
      <scheme val="minor"/>
    </font>
    <font>
      <b/>
      <sz val="22"/>
      <color indexed="9"/>
      <name val="Calibri"/>
      <family val="2"/>
      <scheme val="minor"/>
    </font>
    <font>
      <b/>
      <sz val="22"/>
      <color theme="0"/>
      <name val="Calibri"/>
      <family val="2"/>
      <scheme val="minor"/>
    </font>
  </fonts>
  <fills count="16">
    <fill>
      <patternFill patternType="none"/>
    </fill>
    <fill>
      <patternFill patternType="gray125"/>
    </fill>
    <fill>
      <patternFill patternType="solid">
        <fgColor theme="8"/>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rgb="FF0070C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3"/>
        <bgColor indexed="64"/>
      </patternFill>
    </fill>
    <fill>
      <patternFill patternType="solid">
        <fgColor rgb="FFFFFF00"/>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right/>
      <top/>
      <bottom style="thick">
        <color indexed="64"/>
      </bottom>
      <diagonal/>
    </border>
    <border>
      <left style="thick">
        <color indexed="64"/>
      </left>
      <right style="double">
        <color indexed="64"/>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medium">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auto="1"/>
      </bottom>
      <diagonal/>
    </border>
    <border>
      <left/>
      <right/>
      <top style="thick">
        <color indexed="9"/>
      </top>
      <bottom style="thick">
        <color indexed="64"/>
      </bottom>
      <diagonal/>
    </border>
    <border>
      <left style="thick">
        <color indexed="64"/>
      </left>
      <right style="double">
        <color indexed="64"/>
      </right>
      <top style="thick">
        <color indexed="64"/>
      </top>
      <bottom style="medium">
        <color indexed="64"/>
      </bottom>
      <diagonal/>
    </border>
    <border>
      <left style="double">
        <color indexed="64"/>
      </left>
      <right style="double">
        <color indexed="64"/>
      </right>
      <top style="thick">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ck">
        <color indexed="64"/>
      </top>
      <bottom style="medium">
        <color indexed="64"/>
      </bottom>
      <diagonal/>
    </border>
    <border>
      <left/>
      <right style="double">
        <color indexed="64"/>
      </right>
      <top style="thick">
        <color indexed="64"/>
      </top>
      <bottom style="medium">
        <color indexed="64"/>
      </bottom>
      <diagonal/>
    </border>
    <border>
      <left style="double">
        <color indexed="64"/>
      </left>
      <right style="thick">
        <color indexed="64"/>
      </right>
      <top style="thick">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thick">
        <color indexed="64"/>
      </right>
      <top/>
      <bottom/>
      <diagonal/>
    </border>
    <border>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ck">
        <color indexed="64"/>
      </top>
      <bottom/>
      <diagonal/>
    </border>
    <border>
      <left/>
      <right style="double">
        <color indexed="64"/>
      </right>
      <top style="thick">
        <color indexed="64"/>
      </top>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ck">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right style="medium">
        <color indexed="64"/>
      </right>
      <top/>
      <bottom style="medium">
        <color indexed="64"/>
      </bottom>
      <diagonal/>
    </border>
    <border>
      <left/>
      <right/>
      <top style="thick">
        <color auto="1"/>
      </top>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double">
        <color indexed="64"/>
      </bottom>
      <diagonal/>
    </border>
    <border>
      <left/>
      <right/>
      <top style="double">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diagonal/>
    </border>
    <border>
      <left/>
      <right style="medium">
        <color indexed="64"/>
      </right>
      <top/>
      <bottom style="hair">
        <color indexed="64"/>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799">
    <xf numFmtId="0" fontId="0" fillId="0" borderId="0" xfId="0"/>
    <xf numFmtId="0" fontId="2" fillId="0" borderId="0" xfId="0" applyFont="1"/>
    <xf numFmtId="0" fontId="2" fillId="0" borderId="0" xfId="0" applyFont="1" applyAlignment="1">
      <alignment horizontal="center"/>
    </xf>
    <xf numFmtId="43" fontId="0" fillId="0" borderId="0" xfId="1" applyFont="1"/>
    <xf numFmtId="0" fontId="0" fillId="0" borderId="0" xfId="0" applyAlignment="1">
      <alignment horizontal="center"/>
    </xf>
    <xf numFmtId="43" fontId="0" fillId="0" borderId="0" xfId="1" applyFont="1" applyAlignment="1">
      <alignment horizontal="center" vertical="center"/>
    </xf>
    <xf numFmtId="44" fontId="4" fillId="0" borderId="0" xfId="2" applyFont="1" applyFill="1" applyAlignment="1">
      <alignment horizontal="center" vertical="center"/>
    </xf>
    <xf numFmtId="43" fontId="0" fillId="4" borderId="0" xfId="1" applyFont="1" applyFill="1" applyAlignment="1">
      <alignment horizontal="center" vertical="center"/>
    </xf>
    <xf numFmtId="0" fontId="0" fillId="4" borderId="0" xfId="0" applyFill="1"/>
    <xf numFmtId="43" fontId="4" fillId="4" borderId="0" xfId="1" applyFont="1" applyFill="1" applyAlignment="1">
      <alignment horizontal="center" vertical="center"/>
    </xf>
    <xf numFmtId="44" fontId="0" fillId="0" borderId="0" xfId="2" applyFont="1" applyFill="1" applyAlignment="1">
      <alignment horizontal="center" vertical="center"/>
    </xf>
    <xf numFmtId="0" fontId="0" fillId="0" borderId="0" xfId="0" applyFill="1"/>
    <xf numFmtId="0" fontId="2" fillId="0" borderId="0" xfId="0" applyFont="1" applyFill="1" applyAlignment="1">
      <alignment horizontal="center"/>
    </xf>
    <xf numFmtId="0" fontId="0" fillId="0" borderId="0" xfId="0" applyAlignment="1"/>
    <xf numFmtId="0" fontId="0" fillId="0" borderId="0" xfId="0" applyAlignment="1">
      <alignment wrapText="1"/>
    </xf>
    <xf numFmtId="165" fontId="0" fillId="0" borderId="0" xfId="2" applyNumberFormat="1" applyFont="1" applyBorder="1" applyAlignment="1"/>
    <xf numFmtId="49" fontId="2" fillId="0" borderId="0" xfId="0" applyNumberFormat="1" applyFont="1" applyAlignment="1"/>
    <xf numFmtId="0" fontId="10" fillId="0" borderId="0" xfId="4" applyFont="1" applyAlignment="1">
      <alignment vertical="center"/>
    </xf>
    <xf numFmtId="0" fontId="10" fillId="0" borderId="0" xfId="4" applyFont="1" applyFill="1" applyAlignment="1">
      <alignment vertical="center"/>
    </xf>
    <xf numFmtId="0" fontId="10" fillId="0" borderId="13" xfId="4" applyFont="1" applyBorder="1" applyAlignment="1">
      <alignment horizontal="center"/>
    </xf>
    <xf numFmtId="0" fontId="10" fillId="0" borderId="0" xfId="4" applyFont="1"/>
    <xf numFmtId="0" fontId="10" fillId="0" borderId="0" xfId="0" applyFont="1"/>
    <xf numFmtId="0" fontId="10" fillId="0" borderId="0" xfId="4" applyFont="1" applyAlignment="1">
      <alignment horizontal="center"/>
    </xf>
    <xf numFmtId="0" fontId="12" fillId="7" borderId="14" xfId="4" applyFont="1" applyFill="1" applyBorder="1" applyAlignment="1">
      <alignment horizontal="center" vertical="center" wrapText="1"/>
    </xf>
    <xf numFmtId="0" fontId="12" fillId="7" borderId="12" xfId="4" applyFont="1" applyFill="1" applyBorder="1" applyAlignment="1">
      <alignment horizontal="center" vertical="center" wrapText="1"/>
    </xf>
    <xf numFmtId="0" fontId="13" fillId="5" borderId="12" xfId="4" applyFont="1" applyFill="1" applyBorder="1" applyAlignment="1">
      <alignment horizontal="center" vertical="center" wrapText="1"/>
    </xf>
    <xf numFmtId="3" fontId="12" fillId="7" borderId="12" xfId="4" applyNumberFormat="1" applyFont="1" applyFill="1" applyBorder="1" applyAlignment="1">
      <alignment horizontal="center" vertical="center" wrapText="1"/>
    </xf>
    <xf numFmtId="40" fontId="12" fillId="7" borderId="12" xfId="4" applyNumberFormat="1" applyFont="1" applyFill="1" applyBorder="1" applyAlignment="1">
      <alignment horizontal="center" vertical="center" wrapText="1"/>
    </xf>
    <xf numFmtId="0" fontId="12" fillId="7" borderId="16" xfId="4" applyFont="1" applyFill="1" applyBorder="1" applyAlignment="1">
      <alignment horizontal="center" vertical="center" wrapText="1"/>
    </xf>
    <xf numFmtId="0" fontId="14" fillId="0" borderId="0" xfId="4" applyFont="1"/>
    <xf numFmtId="15" fontId="15" fillId="0" borderId="21" xfId="0" applyNumberFormat="1" applyFont="1" applyFill="1" applyBorder="1" applyAlignment="1">
      <alignment horizontal="center" vertical="center"/>
    </xf>
    <xf numFmtId="0" fontId="15" fillId="0" borderId="21" xfId="0" applyFont="1" applyFill="1" applyBorder="1" applyAlignment="1">
      <alignment horizontal="center" vertical="center" wrapText="1"/>
    </xf>
    <xf numFmtId="0" fontId="15" fillId="0" borderId="21" xfId="0" applyFont="1" applyFill="1" applyBorder="1" applyAlignment="1">
      <alignment horizontal="center" vertical="center"/>
    </xf>
    <xf numFmtId="49" fontId="15" fillId="0" borderId="21" xfId="0" applyNumberFormat="1" applyFont="1" applyFill="1" applyBorder="1" applyAlignment="1">
      <alignment horizontal="center" vertical="center"/>
    </xf>
    <xf numFmtId="3" fontId="16" fillId="0" borderId="21" xfId="5" applyNumberFormat="1" applyFont="1" applyFill="1" applyBorder="1" applyAlignment="1">
      <alignment vertical="center"/>
    </xf>
    <xf numFmtId="3" fontId="17" fillId="0" borderId="21" xfId="5" applyNumberFormat="1" applyFont="1" applyFill="1" applyBorder="1" applyAlignment="1">
      <alignment vertical="center"/>
    </xf>
    <xf numFmtId="40" fontId="17" fillId="0" borderId="21" xfId="5" applyNumberFormat="1" applyFont="1" applyFill="1" applyBorder="1" applyAlignment="1">
      <alignment vertical="center"/>
    </xf>
    <xf numFmtId="4" fontId="15" fillId="0" borderId="21" xfId="5" applyNumberFormat="1" applyFont="1" applyFill="1" applyBorder="1" applyAlignment="1">
      <alignment horizontal="center" vertical="center"/>
    </xf>
    <xf numFmtId="10" fontId="17" fillId="0" borderId="21" xfId="6" applyNumberFormat="1" applyFont="1" applyFill="1" applyBorder="1" applyAlignment="1">
      <alignment vertical="center"/>
    </xf>
    <xf numFmtId="10" fontId="15" fillId="0" borderId="21" xfId="6" applyNumberFormat="1" applyFont="1" applyFill="1" applyBorder="1" applyAlignment="1">
      <alignment horizontal="center" vertical="center"/>
    </xf>
    <xf numFmtId="2" fontId="15" fillId="0" borderId="21" xfId="6" applyNumberFormat="1" applyFont="1" applyFill="1" applyBorder="1" applyAlignment="1">
      <alignment horizontal="center" vertical="center"/>
    </xf>
    <xf numFmtId="3" fontId="15" fillId="0" borderId="21" xfId="6" applyNumberFormat="1" applyFont="1" applyFill="1" applyBorder="1" applyAlignment="1">
      <alignment horizontal="center" vertical="center"/>
    </xf>
    <xf numFmtId="0" fontId="15" fillId="0" borderId="21" xfId="4" applyFont="1" applyFill="1" applyBorder="1" applyAlignment="1">
      <alignment horizontal="center" vertical="center" wrapText="1"/>
    </xf>
    <xf numFmtId="0" fontId="15" fillId="0" borderId="21" xfId="0" applyFont="1" applyFill="1" applyBorder="1" applyAlignment="1">
      <alignment horizontal="justify" vertical="center" wrapText="1"/>
    </xf>
    <xf numFmtId="0" fontId="14" fillId="0" borderId="0" xfId="4" applyFont="1" applyAlignment="1">
      <alignment vertical="center"/>
    </xf>
    <xf numFmtId="0" fontId="14" fillId="0" borderId="0" xfId="4" applyFont="1" applyFill="1" applyAlignment="1">
      <alignment vertical="center"/>
    </xf>
    <xf numFmtId="0" fontId="14" fillId="0" borderId="0" xfId="4" applyFont="1" applyAlignment="1">
      <alignment horizontal="center"/>
    </xf>
    <xf numFmtId="0" fontId="18" fillId="7" borderId="14" xfId="4" applyFont="1" applyFill="1" applyBorder="1" applyAlignment="1">
      <alignment horizontal="center" vertical="center"/>
    </xf>
    <xf numFmtId="3" fontId="16" fillId="7" borderId="12" xfId="5" applyNumberFormat="1" applyFont="1" applyFill="1" applyBorder="1" applyAlignment="1">
      <alignment vertical="center"/>
    </xf>
    <xf numFmtId="0" fontId="17" fillId="0" borderId="0" xfId="4" applyFont="1" applyBorder="1" applyAlignment="1">
      <alignment horizontal="center"/>
    </xf>
    <xf numFmtId="0" fontId="14" fillId="0" borderId="0" xfId="0" applyFont="1"/>
    <xf numFmtId="2" fontId="14" fillId="0" borderId="0" xfId="6" applyNumberFormat="1" applyFont="1" applyFill="1" applyBorder="1" applyAlignment="1">
      <alignment vertical="center"/>
    </xf>
    <xf numFmtId="0" fontId="19" fillId="0" borderId="0" xfId="4" applyFont="1" applyFill="1" applyBorder="1" applyAlignment="1">
      <alignment horizontal="left" vertical="center"/>
    </xf>
    <xf numFmtId="0" fontId="14" fillId="0" borderId="0" xfId="4" applyFont="1" applyFill="1"/>
    <xf numFmtId="3" fontId="19" fillId="0" borderId="0" xfId="4" applyNumberFormat="1" applyFont="1"/>
    <xf numFmtId="40" fontId="14" fillId="0" borderId="0" xfId="4" applyNumberFormat="1" applyFont="1"/>
    <xf numFmtId="0" fontId="16" fillId="0" borderId="0" xfId="4" applyFont="1" applyAlignment="1">
      <alignment horizontal="left"/>
    </xf>
    <xf numFmtId="3" fontId="16" fillId="0" borderId="0" xfId="5" applyNumberFormat="1" applyFont="1" applyFill="1" applyBorder="1" applyAlignment="1">
      <alignment vertical="center"/>
    </xf>
    <xf numFmtId="0" fontId="14" fillId="0" borderId="0" xfId="0" applyFont="1" applyFill="1"/>
    <xf numFmtId="43" fontId="0" fillId="0" borderId="0" xfId="0" applyNumberFormat="1"/>
    <xf numFmtId="4" fontId="0" fillId="0" borderId="0" xfId="0" applyNumberFormat="1"/>
    <xf numFmtId="0" fontId="0" fillId="0" borderId="29" xfId="0" applyBorder="1"/>
    <xf numFmtId="0" fontId="0" fillId="0" borderId="0" xfId="0" applyBorder="1"/>
    <xf numFmtId="0" fontId="14" fillId="0" borderId="0" xfId="0" applyFont="1" applyFill="1" applyAlignment="1">
      <alignment vertical="center"/>
    </xf>
    <xf numFmtId="3" fontId="11" fillId="8" borderId="11" xfId="0" applyNumberFormat="1" applyFont="1" applyFill="1" applyBorder="1" applyAlignment="1">
      <alignment horizontal="center" vertical="center"/>
    </xf>
    <xf numFmtId="3" fontId="11" fillId="8" borderId="30" xfId="0" applyNumberFormat="1" applyFont="1" applyFill="1" applyBorder="1" applyAlignment="1">
      <alignment horizontal="center" vertical="center"/>
    </xf>
    <xf numFmtId="3" fontId="11" fillId="8" borderId="12" xfId="0" applyNumberFormat="1" applyFont="1" applyFill="1" applyBorder="1" applyAlignment="1">
      <alignment horizontal="center" vertical="center"/>
    </xf>
    <xf numFmtId="0" fontId="11" fillId="8" borderId="10" xfId="0" applyFont="1" applyFill="1" applyBorder="1" applyAlignment="1">
      <alignment horizontal="center" vertical="center"/>
    </xf>
    <xf numFmtId="0" fontId="0" fillId="0" borderId="0" xfId="0" applyBorder="1" applyAlignment="1">
      <alignment vertical="justify"/>
    </xf>
    <xf numFmtId="0" fontId="14" fillId="0" borderId="0" xfId="0" applyFont="1" applyFill="1" applyAlignment="1">
      <alignment horizontal="center"/>
    </xf>
    <xf numFmtId="0" fontId="20" fillId="7" borderId="31" xfId="0" applyFont="1" applyFill="1" applyBorder="1" applyAlignment="1">
      <alignment horizontal="center" vertical="center" wrapText="1"/>
    </xf>
    <xf numFmtId="0" fontId="20" fillId="7" borderId="32" xfId="0" applyFont="1" applyFill="1" applyBorder="1" applyAlignment="1">
      <alignment horizontal="center" vertical="center" wrapText="1"/>
    </xf>
    <xf numFmtId="3" fontId="20" fillId="7" borderId="32" xfId="0" applyNumberFormat="1" applyFont="1" applyFill="1" applyBorder="1" applyAlignment="1">
      <alignment horizontal="center" vertical="center" wrapText="1"/>
    </xf>
    <xf numFmtId="3" fontId="20" fillId="7" borderId="33" xfId="0" applyNumberFormat="1" applyFont="1" applyFill="1" applyBorder="1" applyAlignment="1">
      <alignment horizontal="center" vertical="center" wrapText="1"/>
    </xf>
    <xf numFmtId="0" fontId="20" fillId="7" borderId="36" xfId="0" applyFont="1" applyFill="1" applyBorder="1" applyAlignment="1">
      <alignment horizontal="center" vertical="center" wrapText="1"/>
    </xf>
    <xf numFmtId="43" fontId="14" fillId="0" borderId="0" xfId="1" applyFont="1" applyFill="1"/>
    <xf numFmtId="49" fontId="21" fillId="0" borderId="0" xfId="0" applyNumberFormat="1" applyFont="1" applyFill="1" applyBorder="1" applyAlignment="1">
      <alignment horizontal="center" vertical="center"/>
    </xf>
    <xf numFmtId="0" fontId="24" fillId="0" borderId="0" xfId="0" applyFont="1" applyFill="1" applyBorder="1" applyAlignment="1">
      <alignment vertical="center" wrapText="1"/>
    </xf>
    <xf numFmtId="9" fontId="23" fillId="0" borderId="0" xfId="0" applyNumberFormat="1" applyFont="1" applyFill="1" applyBorder="1" applyAlignment="1">
      <alignment vertical="center" wrapText="1"/>
    </xf>
    <xf numFmtId="164" fontId="16" fillId="0" borderId="0" xfId="5" applyNumberFormat="1" applyFont="1" applyFill="1" applyBorder="1" applyAlignment="1">
      <alignment vertical="center"/>
    </xf>
    <xf numFmtId="3" fontId="17" fillId="0" borderId="0" xfId="5" applyNumberFormat="1" applyFont="1" applyFill="1" applyBorder="1" applyAlignment="1">
      <alignment vertical="center"/>
    </xf>
    <xf numFmtId="3" fontId="17" fillId="0" borderId="0" xfId="9" applyNumberFormat="1" applyFont="1" applyFill="1" applyBorder="1" applyAlignment="1">
      <alignment vertical="center"/>
    </xf>
    <xf numFmtId="164" fontId="22" fillId="0" borderId="0" xfId="1" applyNumberFormat="1" applyFont="1" applyFill="1" applyBorder="1" applyAlignment="1">
      <alignment vertical="center"/>
    </xf>
    <xf numFmtId="3" fontId="16" fillId="0" borderId="0" xfId="9" applyNumberFormat="1" applyFont="1" applyFill="1" applyBorder="1" applyAlignment="1">
      <alignment vertical="center"/>
    </xf>
    <xf numFmtId="4" fontId="15" fillId="0" borderId="0" xfId="9" applyNumberFormat="1" applyFont="1" applyFill="1" applyBorder="1" applyAlignment="1">
      <alignment vertical="center"/>
    </xf>
    <xf numFmtId="3" fontId="22" fillId="0" borderId="0" xfId="9" applyNumberFormat="1" applyFont="1" applyFill="1" applyBorder="1" applyAlignment="1">
      <alignment vertical="center"/>
    </xf>
    <xf numFmtId="4" fontId="15" fillId="0" borderId="0" xfId="5" applyNumberFormat="1" applyFont="1" applyFill="1" applyBorder="1" applyAlignment="1">
      <alignment horizontal="center" vertical="center"/>
    </xf>
    <xf numFmtId="10" fontId="17" fillId="0" borderId="0" xfId="10" applyNumberFormat="1" applyFont="1" applyFill="1" applyBorder="1" applyAlignment="1">
      <alignment vertical="center"/>
    </xf>
    <xf numFmtId="10" fontId="17" fillId="0" borderId="0" xfId="6" applyNumberFormat="1" applyFont="1" applyFill="1" applyBorder="1" applyAlignment="1">
      <alignment horizontal="center" vertical="center" wrapText="1"/>
    </xf>
    <xf numFmtId="2" fontId="17" fillId="0" borderId="0" xfId="6" applyNumberFormat="1" applyFont="1" applyFill="1" applyBorder="1" applyAlignment="1">
      <alignment horizontal="center" vertical="center"/>
    </xf>
    <xf numFmtId="49" fontId="17" fillId="0" borderId="0" xfId="6"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15" fontId="21" fillId="0" borderId="0" xfId="0" applyNumberFormat="1" applyFont="1" applyFill="1" applyBorder="1" applyAlignment="1">
      <alignment horizontal="center" vertical="center"/>
    </xf>
    <xf numFmtId="49" fontId="15" fillId="0" borderId="39" xfId="0" applyNumberFormat="1" applyFont="1" applyFill="1" applyBorder="1" applyAlignment="1">
      <alignment horizontal="center" vertical="center"/>
    </xf>
    <xf numFmtId="164" fontId="16" fillId="7" borderId="12" xfId="1" applyNumberFormat="1" applyFont="1" applyFill="1" applyBorder="1" applyAlignment="1">
      <alignment vertical="center"/>
    </xf>
    <xf numFmtId="43" fontId="16" fillId="7" borderId="12" xfId="1" applyFont="1" applyFill="1" applyBorder="1" applyAlignment="1">
      <alignment vertical="center"/>
    </xf>
    <xf numFmtId="43" fontId="17" fillId="0" borderId="0" xfId="10" applyNumberFormat="1" applyFont="1" applyFill="1" applyBorder="1" applyAlignment="1">
      <alignment vertical="center"/>
    </xf>
    <xf numFmtId="43" fontId="17" fillId="0" borderId="0" xfId="6" applyNumberFormat="1" applyFont="1" applyFill="1" applyBorder="1" applyAlignment="1">
      <alignment horizontal="center" vertical="center" wrapText="1"/>
    </xf>
    <xf numFmtId="3" fontId="17" fillId="0" borderId="0" xfId="6" applyNumberFormat="1" applyFont="1" applyFill="1" applyBorder="1" applyAlignment="1">
      <alignment horizontal="center" vertical="center"/>
    </xf>
    <xf numFmtId="43" fontId="21" fillId="0" borderId="0" xfId="0" applyNumberFormat="1" applyFont="1" applyFill="1" applyBorder="1" applyAlignment="1">
      <alignment horizontal="center" vertical="center" wrapText="1"/>
    </xf>
    <xf numFmtId="4" fontId="15" fillId="0" borderId="0" xfId="9" applyNumberFormat="1" applyFont="1" applyFill="1" applyBorder="1" applyAlignment="1">
      <alignment horizontal="center" vertical="center"/>
    </xf>
    <xf numFmtId="2" fontId="0" fillId="0" borderId="0" xfId="0" applyNumberFormat="1"/>
    <xf numFmtId="3" fontId="11" fillId="8" borderId="16" xfId="0" applyNumberFormat="1" applyFont="1" applyFill="1" applyBorder="1" applyAlignment="1">
      <alignment horizontal="center" vertical="center"/>
    </xf>
    <xf numFmtId="3" fontId="11" fillId="8" borderId="15" xfId="0" applyNumberFormat="1" applyFont="1" applyFill="1" applyBorder="1" applyAlignment="1">
      <alignment vertical="center"/>
    </xf>
    <xf numFmtId="3" fontId="22" fillId="0" borderId="49" xfId="9" applyNumberFormat="1" applyFont="1" applyFill="1" applyBorder="1" applyAlignment="1">
      <alignment vertical="center"/>
    </xf>
    <xf numFmtId="49" fontId="15" fillId="0" borderId="0" xfId="0" applyNumberFormat="1" applyFont="1" applyFill="1" applyBorder="1" applyAlignment="1">
      <alignment horizontal="center" vertical="center"/>
    </xf>
    <xf numFmtId="10" fontId="17" fillId="0" borderId="0" xfId="10" applyNumberFormat="1" applyFont="1" applyFill="1" applyBorder="1" applyAlignment="1">
      <alignment horizontal="center" vertical="center"/>
    </xf>
    <xf numFmtId="164" fontId="17" fillId="0" borderId="0" xfId="10" applyNumberFormat="1" applyFont="1" applyFill="1" applyBorder="1" applyAlignment="1">
      <alignment horizontal="center" vertical="center"/>
    </xf>
    <xf numFmtId="43" fontId="21" fillId="0" borderId="0" xfId="1" applyFont="1" applyFill="1" applyBorder="1" applyAlignment="1">
      <alignment horizontal="center" vertical="center" wrapText="1"/>
    </xf>
    <xf numFmtId="0" fontId="29" fillId="0" borderId="0" xfId="0" applyFont="1" applyAlignment="1">
      <alignment horizontal="center"/>
    </xf>
    <xf numFmtId="164" fontId="29" fillId="0" borderId="0" xfId="1" applyNumberFormat="1" applyFont="1" applyAlignment="1">
      <alignment horizontal="center"/>
    </xf>
    <xf numFmtId="0" fontId="28" fillId="0" borderId="0" xfId="0" applyFont="1"/>
    <xf numFmtId="43" fontId="28" fillId="0" borderId="0" xfId="1" applyFont="1"/>
    <xf numFmtId="43" fontId="28" fillId="0" borderId="0" xfId="0" applyNumberFormat="1" applyFont="1"/>
    <xf numFmtId="0" fontId="31" fillId="0" borderId="0" xfId="0" applyFont="1" applyAlignment="1">
      <alignment horizontal="center" vertical="center"/>
    </xf>
    <xf numFmtId="0" fontId="0" fillId="0" borderId="0" xfId="0" applyAlignment="1">
      <alignment horizontal="center"/>
    </xf>
    <xf numFmtId="165" fontId="0" fillId="0" borderId="0" xfId="0" applyNumberFormat="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0" fontId="33" fillId="0" borderId="0" xfId="0" applyFont="1" applyBorder="1" applyAlignment="1">
      <alignment horizontal="center" vertical="center" wrapText="1"/>
    </xf>
    <xf numFmtId="165" fontId="0" fillId="0" borderId="0" xfId="2" applyNumberFormat="1" applyFont="1" applyBorder="1" applyAlignment="1">
      <alignment horizontal="center"/>
    </xf>
    <xf numFmtId="49" fontId="2" fillId="0" borderId="0" xfId="0" applyNumberFormat="1" applyFont="1"/>
    <xf numFmtId="49" fontId="2" fillId="0" borderId="0" xfId="0" applyNumberFormat="1" applyFont="1" applyAlignment="1">
      <alignment horizontal="center"/>
    </xf>
    <xf numFmtId="0" fontId="0" fillId="0" borderId="0" xfId="0" applyBorder="1" applyAlignment="1">
      <alignment horizontal="center" vertical="justify" wrapText="1"/>
    </xf>
    <xf numFmtId="0" fontId="10" fillId="0" borderId="0" xfId="8" applyFont="1"/>
    <xf numFmtId="0" fontId="20" fillId="7" borderId="60" xfId="0" applyFont="1" applyFill="1" applyBorder="1" applyAlignment="1">
      <alignment horizontal="center" vertical="center" wrapText="1"/>
    </xf>
    <xf numFmtId="0" fontId="20" fillId="7" borderId="61" xfId="0" applyFont="1" applyFill="1" applyBorder="1" applyAlignment="1">
      <alignment horizontal="center" vertical="center" wrapText="1"/>
    </xf>
    <xf numFmtId="0" fontId="20" fillId="7" borderId="62" xfId="0" applyFont="1" applyFill="1" applyBorder="1" applyAlignment="1">
      <alignment horizontal="center" vertical="center" wrapText="1"/>
    </xf>
    <xf numFmtId="4" fontId="14" fillId="0" borderId="0" xfId="4" applyNumberFormat="1" applyFont="1"/>
    <xf numFmtId="0" fontId="14" fillId="0" borderId="0" xfId="8" applyFont="1"/>
    <xf numFmtId="3" fontId="14" fillId="0" borderId="0" xfId="4" applyNumberFormat="1" applyFont="1"/>
    <xf numFmtId="0" fontId="0" fillId="0" borderId="0" xfId="0" applyFill="1" applyAlignment="1"/>
    <xf numFmtId="0" fontId="7" fillId="0" borderId="0" xfId="0" applyFont="1" applyFill="1" applyAlignment="1">
      <alignment horizontal="center" vertical="center" wrapText="1"/>
    </xf>
    <xf numFmtId="0" fontId="24" fillId="0" borderId="0" xfId="0" applyFont="1" applyFill="1" applyBorder="1" applyAlignment="1">
      <alignment horizontal="left" vertical="center" wrapText="1"/>
    </xf>
    <xf numFmtId="43" fontId="30" fillId="0" borderId="0" xfId="1" applyFont="1" applyAlignment="1"/>
    <xf numFmtId="43" fontId="30" fillId="0" borderId="0" xfId="1" applyFont="1" applyAlignment="1">
      <alignment wrapText="1"/>
    </xf>
    <xf numFmtId="0" fontId="36" fillId="7" borderId="58" xfId="0" applyFont="1" applyFill="1" applyBorder="1" applyAlignment="1">
      <alignment horizontal="center" vertical="center" wrapText="1"/>
    </xf>
    <xf numFmtId="0" fontId="37" fillId="7" borderId="59" xfId="4" applyFont="1" applyFill="1" applyBorder="1" applyAlignment="1">
      <alignment horizontal="center" vertical="center" wrapText="1"/>
    </xf>
    <xf numFmtId="49" fontId="2" fillId="0" borderId="0" xfId="0" applyNumberFormat="1" applyFont="1" applyAlignment="1">
      <alignment horizontal="right"/>
    </xf>
    <xf numFmtId="0" fontId="15" fillId="0" borderId="0" xfId="8" applyFont="1" applyFill="1" applyBorder="1" applyAlignment="1">
      <alignment horizontal="center" vertical="center" wrapText="1"/>
    </xf>
    <xf numFmtId="14" fontId="34" fillId="0" borderId="0" xfId="4" applyNumberFormat="1" applyFont="1" applyFill="1" applyBorder="1" applyAlignment="1">
      <alignment horizontal="center" vertical="center" wrapText="1"/>
    </xf>
    <xf numFmtId="0" fontId="34" fillId="0" borderId="0" xfId="4" applyFont="1" applyFill="1" applyBorder="1" applyAlignment="1">
      <alignment horizontal="center" vertical="center" wrapText="1"/>
    </xf>
    <xf numFmtId="0" fontId="15" fillId="6" borderId="0" xfId="8" applyFont="1" applyFill="1" applyBorder="1" applyAlignment="1">
      <alignment horizontal="justify" vertical="center" wrapText="1"/>
    </xf>
    <xf numFmtId="3" fontId="16" fillId="6" borderId="0" xfId="5" applyNumberFormat="1" applyFont="1" applyFill="1" applyBorder="1" applyAlignment="1">
      <alignment vertical="center"/>
    </xf>
    <xf numFmtId="3" fontId="12" fillId="0" borderId="0" xfId="4" applyNumberFormat="1" applyFont="1" applyFill="1" applyBorder="1" applyAlignment="1">
      <alignment horizontal="center" vertical="center" wrapText="1"/>
    </xf>
    <xf numFmtId="2" fontId="15" fillId="0" borderId="0" xfId="6" applyNumberFormat="1" applyFont="1" applyFill="1" applyBorder="1" applyAlignment="1">
      <alignment horizontal="center" vertical="center"/>
    </xf>
    <xf numFmtId="10" fontId="17" fillId="0" borderId="0" xfId="6" applyNumberFormat="1" applyFont="1" applyFill="1" applyBorder="1" applyAlignment="1">
      <alignment vertical="center"/>
    </xf>
    <xf numFmtId="10" fontId="17" fillId="6" borderId="0" xfId="6" applyNumberFormat="1" applyFont="1" applyFill="1" applyBorder="1" applyAlignment="1">
      <alignment vertical="center"/>
    </xf>
    <xf numFmtId="10" fontId="15" fillId="0" borderId="0" xfId="6" applyNumberFormat="1" applyFont="1" applyFill="1" applyBorder="1" applyAlignment="1">
      <alignment horizontal="center" vertical="center" wrapText="1"/>
    </xf>
    <xf numFmtId="0" fontId="15" fillId="0" borderId="0" xfId="4"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49" fontId="15" fillId="0" borderId="0" xfId="0" applyNumberFormat="1" applyFont="1" applyFill="1" applyBorder="1" applyAlignment="1">
      <alignment horizontal="center" vertical="center" wrapText="1"/>
    </xf>
    <xf numFmtId="3" fontId="15" fillId="0" borderId="0" xfId="9" applyNumberFormat="1" applyFont="1" applyFill="1" applyBorder="1" applyAlignment="1">
      <alignment vertical="center"/>
    </xf>
    <xf numFmtId="9" fontId="17" fillId="0" borderId="0" xfId="3" applyFont="1" applyFill="1" applyBorder="1" applyAlignment="1">
      <alignment horizontal="center" vertical="center"/>
    </xf>
    <xf numFmtId="10" fontId="17" fillId="6" borderId="0" xfId="10" applyNumberFormat="1" applyFont="1" applyFill="1" applyBorder="1" applyAlignment="1">
      <alignment vertical="center"/>
    </xf>
    <xf numFmtId="2" fontId="17" fillId="0" borderId="0" xfId="6" applyNumberFormat="1" applyFont="1" applyFill="1" applyBorder="1" applyAlignment="1">
      <alignment vertical="center"/>
    </xf>
    <xf numFmtId="0" fontId="23" fillId="0" borderId="0" xfId="0" applyFont="1" applyFill="1" applyBorder="1" applyAlignment="1">
      <alignment horizontal="center" vertical="center" wrapText="1"/>
    </xf>
    <xf numFmtId="164" fontId="17" fillId="0" borderId="0" xfId="6" applyNumberFormat="1" applyFont="1" applyFill="1" applyBorder="1" applyAlignment="1">
      <alignment horizontal="center" vertical="center" wrapText="1"/>
    </xf>
    <xf numFmtId="49" fontId="38" fillId="0" borderId="0" xfId="0" applyNumberFormat="1" applyFont="1" applyAlignment="1"/>
    <xf numFmtId="0" fontId="0" fillId="0" borderId="0" xfId="0" applyBorder="1" applyAlignment="1"/>
    <xf numFmtId="164" fontId="0" fillId="0" borderId="0" xfId="0" applyNumberFormat="1"/>
    <xf numFmtId="0" fontId="12" fillId="7" borderId="31" xfId="4" applyFont="1" applyFill="1" applyBorder="1" applyAlignment="1">
      <alignment horizontal="center" vertical="center" wrapText="1"/>
    </xf>
    <xf numFmtId="0" fontId="12" fillId="7" borderId="32" xfId="4" applyFont="1" applyFill="1" applyBorder="1" applyAlignment="1">
      <alignment horizontal="center" vertical="center" wrapText="1"/>
    </xf>
    <xf numFmtId="0" fontId="13" fillId="5" borderId="32" xfId="4" applyFont="1" applyFill="1" applyBorder="1" applyAlignment="1">
      <alignment horizontal="center" vertical="center" wrapText="1"/>
    </xf>
    <xf numFmtId="3" fontId="12" fillId="7" borderId="32" xfId="4" applyNumberFormat="1" applyFont="1" applyFill="1" applyBorder="1" applyAlignment="1">
      <alignment horizontal="center" vertical="center" wrapText="1"/>
    </xf>
    <xf numFmtId="40" fontId="12" fillId="7" borderId="32" xfId="4" applyNumberFormat="1" applyFont="1" applyFill="1" applyBorder="1" applyAlignment="1">
      <alignment horizontal="center" vertical="center" wrapText="1"/>
    </xf>
    <xf numFmtId="0" fontId="12" fillId="7" borderId="36" xfId="4" applyFont="1" applyFill="1" applyBorder="1" applyAlignment="1">
      <alignment horizontal="center" vertical="center" wrapText="1"/>
    </xf>
    <xf numFmtId="3" fontId="16" fillId="0" borderId="49" xfId="5" applyNumberFormat="1" applyFont="1" applyFill="1" applyBorder="1" applyAlignment="1">
      <alignment vertical="center"/>
    </xf>
    <xf numFmtId="0" fontId="0" fillId="0" borderId="0" xfId="0" applyFont="1" applyBorder="1" applyAlignment="1">
      <alignment vertical="center"/>
    </xf>
    <xf numFmtId="0" fontId="26" fillId="0" borderId="0" xfId="0" applyFont="1" applyFill="1" applyAlignment="1">
      <alignment vertical="center" wrapText="1"/>
    </xf>
    <xf numFmtId="0" fontId="27" fillId="0" borderId="0" xfId="0" applyFont="1" applyFill="1" applyAlignment="1">
      <alignment vertical="top" wrapText="1"/>
    </xf>
    <xf numFmtId="3" fontId="0" fillId="0" borderId="0" xfId="0" applyNumberFormat="1"/>
    <xf numFmtId="40" fontId="12" fillId="0" borderId="0" xfId="4" applyNumberFormat="1" applyFont="1" applyFill="1" applyBorder="1" applyAlignment="1">
      <alignment horizontal="center" vertical="center" wrapText="1"/>
    </xf>
    <xf numFmtId="3" fontId="2" fillId="0" borderId="0" xfId="0" applyNumberFormat="1" applyFont="1"/>
    <xf numFmtId="0" fontId="11" fillId="8" borderId="15" xfId="0" applyFont="1" applyFill="1" applyBorder="1" applyAlignment="1">
      <alignment horizontal="center" vertical="center"/>
    </xf>
    <xf numFmtId="43" fontId="2" fillId="0" borderId="0" xfId="0" applyNumberFormat="1" applyFont="1"/>
    <xf numFmtId="43" fontId="15" fillId="6" borderId="0" xfId="8" applyNumberFormat="1" applyFont="1" applyFill="1" applyBorder="1" applyAlignment="1">
      <alignment horizontal="justify" vertical="center" wrapText="1"/>
    </xf>
    <xf numFmtId="0" fontId="0" fillId="0" borderId="0" xfId="0" applyBorder="1" applyAlignment="1">
      <alignment horizontal="center"/>
    </xf>
    <xf numFmtId="49" fontId="15" fillId="6" borderId="0" xfId="0" applyNumberFormat="1" applyFont="1" applyFill="1" applyBorder="1" applyAlignment="1">
      <alignment horizontal="center" vertical="center"/>
    </xf>
    <xf numFmtId="0" fontId="46" fillId="0" borderId="0" xfId="0" applyFont="1" applyFill="1"/>
    <xf numFmtId="0" fontId="46" fillId="0" borderId="0" xfId="0" applyFont="1" applyAlignment="1">
      <alignment horizontal="center"/>
    </xf>
    <xf numFmtId="43" fontId="46" fillId="0" borderId="0" xfId="1" applyFont="1" applyFill="1"/>
    <xf numFmtId="43" fontId="46" fillId="0" borderId="0" xfId="0" applyNumberFormat="1" applyFont="1" applyFill="1"/>
    <xf numFmtId="0" fontId="46" fillId="0" borderId="0" xfId="0" applyFont="1"/>
    <xf numFmtId="0" fontId="46" fillId="0" borderId="0" xfId="0" applyFont="1" applyFill="1" applyAlignment="1">
      <alignment wrapText="1"/>
    </xf>
    <xf numFmtId="3" fontId="46" fillId="0" borderId="0" xfId="0" applyNumberFormat="1" applyFont="1" applyFill="1"/>
    <xf numFmtId="0" fontId="0" fillId="0" borderId="0" xfId="0" applyFont="1" applyFill="1"/>
    <xf numFmtId="0" fontId="0" fillId="0" borderId="0" xfId="0" applyFont="1"/>
    <xf numFmtId="0" fontId="48" fillId="0" borderId="0" xfId="0" applyFont="1"/>
    <xf numFmtId="43" fontId="48" fillId="0" borderId="0" xfId="1" applyFont="1"/>
    <xf numFmtId="0" fontId="52" fillId="0" borderId="0" xfId="4" applyFont="1"/>
    <xf numFmtId="0" fontId="53" fillId="7" borderId="14" xfId="4" applyFont="1" applyFill="1" applyBorder="1" applyAlignment="1">
      <alignment horizontal="center" vertical="center"/>
    </xf>
    <xf numFmtId="3" fontId="51" fillId="7" borderId="12" xfId="5" applyNumberFormat="1" applyFont="1" applyFill="1" applyBorder="1" applyAlignment="1">
      <alignment vertical="center"/>
    </xf>
    <xf numFmtId="165" fontId="46" fillId="0" borderId="0" xfId="2" applyNumberFormat="1" applyFont="1" applyBorder="1" applyAlignment="1"/>
    <xf numFmtId="0" fontId="46" fillId="0" borderId="0" xfId="0" applyFont="1" applyAlignment="1"/>
    <xf numFmtId="0" fontId="54" fillId="0" borderId="0" xfId="0" applyFont="1" applyAlignment="1">
      <alignment horizontal="right"/>
    </xf>
    <xf numFmtId="14" fontId="59" fillId="0" borderId="42" xfId="4" applyNumberFormat="1" applyFont="1" applyFill="1" applyBorder="1" applyAlignment="1">
      <alignment horizontal="center" vertical="center" wrapText="1"/>
    </xf>
    <xf numFmtId="0" fontId="59" fillId="0" borderId="42" xfId="4" applyFont="1" applyFill="1" applyBorder="1" applyAlignment="1">
      <alignment horizontal="center" vertical="center" wrapText="1"/>
    </xf>
    <xf numFmtId="0" fontId="58" fillId="6" borderId="42" xfId="8" applyFont="1" applyFill="1" applyBorder="1" applyAlignment="1">
      <alignment horizontal="justify" vertical="center" wrapText="1"/>
    </xf>
    <xf numFmtId="3" fontId="60" fillId="0" borderId="42" xfId="5" applyNumberFormat="1" applyFont="1" applyFill="1" applyBorder="1" applyAlignment="1">
      <alignment vertical="center"/>
    </xf>
    <xf numFmtId="3" fontId="58" fillId="0" borderId="42" xfId="5" applyNumberFormat="1" applyFont="1" applyFill="1" applyBorder="1" applyAlignment="1">
      <alignment vertical="center"/>
    </xf>
    <xf numFmtId="2" fontId="58" fillId="0" borderId="42" xfId="6" applyNumberFormat="1" applyFont="1" applyFill="1" applyBorder="1" applyAlignment="1">
      <alignment horizontal="center" vertical="center"/>
    </xf>
    <xf numFmtId="10" fontId="58" fillId="0" borderId="42" xfId="6" applyNumberFormat="1" applyFont="1" applyFill="1" applyBorder="1" applyAlignment="1">
      <alignment horizontal="center" vertical="center" wrapText="1"/>
    </xf>
    <xf numFmtId="0" fontId="58" fillId="0" borderId="42" xfId="4" applyFont="1" applyBorder="1" applyAlignment="1">
      <alignment horizontal="center" vertical="center" wrapText="1"/>
    </xf>
    <xf numFmtId="0" fontId="58" fillId="0" borderId="21" xfId="4" applyFont="1" applyBorder="1" applyAlignment="1">
      <alignment horizontal="center" vertical="center" wrapText="1"/>
    </xf>
    <xf numFmtId="14" fontId="59" fillId="0" borderId="21" xfId="4" applyNumberFormat="1" applyFont="1" applyFill="1" applyBorder="1" applyAlignment="1">
      <alignment horizontal="center" vertical="center" wrapText="1"/>
    </xf>
    <xf numFmtId="0" fontId="59" fillId="0" borderId="21" xfId="4" applyFont="1" applyFill="1" applyBorder="1" applyAlignment="1">
      <alignment horizontal="center" vertical="center" wrapText="1"/>
    </xf>
    <xf numFmtId="0" fontId="58" fillId="6" borderId="21" xfId="8" applyFont="1" applyFill="1" applyBorder="1" applyAlignment="1">
      <alignment horizontal="justify" vertical="center" wrapText="1"/>
    </xf>
    <xf numFmtId="3" fontId="60" fillId="0" borderId="21" xfId="5" applyNumberFormat="1" applyFont="1" applyFill="1" applyBorder="1" applyAlignment="1">
      <alignment vertical="center"/>
    </xf>
    <xf numFmtId="3" fontId="58" fillId="0" borderId="21" xfId="5" applyNumberFormat="1" applyFont="1" applyFill="1" applyBorder="1" applyAlignment="1">
      <alignment vertical="center"/>
    </xf>
    <xf numFmtId="2" fontId="58" fillId="0" borderId="21" xfId="6" applyNumberFormat="1" applyFont="1" applyFill="1" applyBorder="1" applyAlignment="1">
      <alignment horizontal="center" vertical="center"/>
    </xf>
    <xf numFmtId="10" fontId="58" fillId="0" borderId="21" xfId="6" applyNumberFormat="1" applyFont="1" applyFill="1" applyBorder="1" applyAlignment="1">
      <alignment horizontal="center" vertical="center" wrapText="1"/>
    </xf>
    <xf numFmtId="164" fontId="51" fillId="7" borderId="12" xfId="1" applyNumberFormat="1" applyFont="1" applyFill="1" applyBorder="1" applyAlignment="1">
      <alignment vertical="center"/>
    </xf>
    <xf numFmtId="3" fontId="60" fillId="0" borderId="37" xfId="5" applyNumberFormat="1" applyFont="1" applyFill="1" applyBorder="1" applyAlignment="1">
      <alignment vertical="center"/>
    </xf>
    <xf numFmtId="0" fontId="10" fillId="7" borderId="58" xfId="0" applyFont="1" applyFill="1" applyBorder="1" applyAlignment="1">
      <alignment horizontal="center" vertical="center" wrapText="1"/>
    </xf>
    <xf numFmtId="0" fontId="64" fillId="7" borderId="60" xfId="0" applyFont="1" applyFill="1" applyBorder="1" applyAlignment="1">
      <alignment horizontal="center" vertical="center" wrapText="1"/>
    </xf>
    <xf numFmtId="0" fontId="64" fillId="7" borderId="61" xfId="0" applyFont="1" applyFill="1" applyBorder="1" applyAlignment="1">
      <alignment horizontal="center" vertical="center" wrapText="1"/>
    </xf>
    <xf numFmtId="0" fontId="64" fillId="7" borderId="62" xfId="0" applyFont="1" applyFill="1" applyBorder="1" applyAlignment="1">
      <alignment horizontal="center" vertical="center" wrapText="1"/>
    </xf>
    <xf numFmtId="0" fontId="57" fillId="0" borderId="0" xfId="0" applyFont="1" applyFill="1"/>
    <xf numFmtId="0" fontId="58" fillId="0" borderId="37" xfId="0" applyFont="1" applyFill="1" applyBorder="1" applyAlignment="1">
      <alignment horizontal="center" vertical="center"/>
    </xf>
    <xf numFmtId="15" fontId="58" fillId="0" borderId="37" xfId="0" applyNumberFormat="1" applyFont="1" applyFill="1" applyBorder="1" applyAlignment="1">
      <alignment horizontal="center" vertical="center"/>
    </xf>
    <xf numFmtId="0" fontId="58" fillId="0" borderId="37" xfId="0" applyFont="1" applyFill="1" applyBorder="1" applyAlignment="1">
      <alignment horizontal="center" vertical="center" wrapText="1"/>
    </xf>
    <xf numFmtId="49" fontId="58" fillId="0" borderId="37" xfId="0" applyNumberFormat="1" applyFont="1" applyFill="1" applyBorder="1" applyAlignment="1">
      <alignment horizontal="center" vertical="center"/>
    </xf>
    <xf numFmtId="0" fontId="58" fillId="0" borderId="37" xfId="0" applyFont="1" applyFill="1" applyBorder="1" applyAlignment="1">
      <alignment horizontal="justify" vertical="center" wrapText="1"/>
    </xf>
    <xf numFmtId="164" fontId="60" fillId="0" borderId="37" xfId="1" applyNumberFormat="1" applyFont="1" applyFill="1" applyBorder="1" applyAlignment="1">
      <alignment vertical="center"/>
    </xf>
    <xf numFmtId="164" fontId="47" fillId="0" borderId="37" xfId="1" applyNumberFormat="1" applyFont="1" applyFill="1" applyBorder="1" applyAlignment="1">
      <alignment vertical="center"/>
    </xf>
    <xf numFmtId="3" fontId="47" fillId="0" borderId="42" xfId="9" applyNumberFormat="1" applyFont="1" applyFill="1" applyBorder="1" applyAlignment="1">
      <alignment vertical="center"/>
    </xf>
    <xf numFmtId="4" fontId="58" fillId="0" borderId="37" xfId="5" applyNumberFormat="1" applyFont="1" applyFill="1" applyBorder="1" applyAlignment="1">
      <alignment horizontal="center" vertical="center"/>
    </xf>
    <xf numFmtId="9" fontId="58" fillId="0" borderId="21" xfId="3" applyFont="1" applyFill="1" applyBorder="1" applyAlignment="1">
      <alignment horizontal="center" vertical="center"/>
    </xf>
    <xf numFmtId="10" fontId="58" fillId="0" borderId="37" xfId="6" applyNumberFormat="1" applyFont="1" applyFill="1" applyBorder="1" applyAlignment="1">
      <alignment horizontal="center" vertical="center" wrapText="1"/>
    </xf>
    <xf numFmtId="43" fontId="58" fillId="0" borderId="37" xfId="1" applyFont="1" applyFill="1" applyBorder="1" applyAlignment="1">
      <alignment vertical="center"/>
    </xf>
    <xf numFmtId="49" fontId="58" fillId="0" borderId="37" xfId="6" applyNumberFormat="1" applyFont="1" applyFill="1" applyBorder="1" applyAlignment="1">
      <alignment horizontal="center" vertical="center"/>
    </xf>
    <xf numFmtId="0" fontId="65" fillId="0" borderId="37" xfId="0" applyFont="1" applyFill="1" applyBorder="1" applyAlignment="1">
      <alignment horizontal="center" vertical="center" wrapText="1"/>
    </xf>
    <xf numFmtId="43" fontId="62" fillId="0" borderId="0" xfId="1" applyFont="1" applyFill="1"/>
    <xf numFmtId="0" fontId="62" fillId="0" borderId="0" xfId="0" applyFont="1" applyFill="1"/>
    <xf numFmtId="0" fontId="63" fillId="7" borderId="31" xfId="0" applyFont="1" applyFill="1" applyBorder="1" applyAlignment="1">
      <alignment horizontal="center" vertical="center" wrapText="1"/>
    </xf>
    <xf numFmtId="0" fontId="63" fillId="7" borderId="32" xfId="0" applyFont="1" applyFill="1" applyBorder="1" applyAlignment="1">
      <alignment horizontal="center" vertical="center" wrapText="1"/>
    </xf>
    <xf numFmtId="3" fontId="63" fillId="7" borderId="32" xfId="0" applyNumberFormat="1" applyFont="1" applyFill="1" applyBorder="1" applyAlignment="1">
      <alignment horizontal="center" vertical="center" wrapText="1"/>
    </xf>
    <xf numFmtId="3" fontId="63" fillId="7" borderId="33" xfId="0" applyNumberFormat="1" applyFont="1" applyFill="1" applyBorder="1" applyAlignment="1">
      <alignment horizontal="center" vertical="center" wrapText="1"/>
    </xf>
    <xf numFmtId="0" fontId="63" fillId="7" borderId="36" xfId="0" applyFont="1" applyFill="1" applyBorder="1" applyAlignment="1">
      <alignment horizontal="center" vertical="center" wrapText="1"/>
    </xf>
    <xf numFmtId="9" fontId="58" fillId="0" borderId="37" xfId="10" applyNumberFormat="1" applyFont="1" applyFill="1" applyBorder="1" applyAlignment="1">
      <alignment vertical="center"/>
    </xf>
    <xf numFmtId="0" fontId="66" fillId="0" borderId="0" xfId="4" applyFont="1"/>
    <xf numFmtId="0" fontId="58" fillId="0" borderId="17" xfId="0" applyFont="1" applyFill="1" applyBorder="1" applyAlignment="1">
      <alignment horizontal="center" vertical="center" wrapText="1"/>
    </xf>
    <xf numFmtId="15" fontId="58" fillId="0" borderId="18" xfId="0" applyNumberFormat="1" applyFont="1" applyFill="1" applyBorder="1" applyAlignment="1">
      <alignment horizontal="center" vertical="center"/>
    </xf>
    <xf numFmtId="0" fontId="58" fillId="0" borderId="18" xfId="0" applyFont="1" applyFill="1" applyBorder="1" applyAlignment="1">
      <alignment horizontal="center" vertical="center" wrapText="1"/>
    </xf>
    <xf numFmtId="0" fontId="58" fillId="0" borderId="18" xfId="0" applyFont="1" applyFill="1" applyBorder="1" applyAlignment="1">
      <alignment horizontal="justify" vertical="center"/>
    </xf>
    <xf numFmtId="4" fontId="58" fillId="0" borderId="18" xfId="5" applyNumberFormat="1" applyFont="1" applyFill="1" applyBorder="1" applyAlignment="1">
      <alignment horizontal="center" vertical="center"/>
    </xf>
    <xf numFmtId="3" fontId="58" fillId="0" borderId="0" xfId="4" applyNumberFormat="1" applyFont="1" applyFill="1" applyBorder="1" applyAlignment="1">
      <alignment horizontal="center" vertical="center" wrapText="1"/>
    </xf>
    <xf numFmtId="15" fontId="58" fillId="0" borderId="21" xfId="0" applyNumberFormat="1" applyFont="1" applyFill="1" applyBorder="1" applyAlignment="1">
      <alignment horizontal="center" vertical="center"/>
    </xf>
    <xf numFmtId="0" fontId="58" fillId="0" borderId="21" xfId="0" applyFont="1" applyFill="1" applyBorder="1" applyAlignment="1">
      <alignment horizontal="center" vertical="center" wrapText="1"/>
    </xf>
    <xf numFmtId="0" fontId="0" fillId="0" borderId="0" xfId="0" applyAlignment="1">
      <alignment horizontal="center"/>
    </xf>
    <xf numFmtId="0" fontId="24" fillId="0" borderId="0" xfId="0" applyFont="1" applyFill="1" applyBorder="1" applyAlignment="1">
      <alignment horizontal="left" vertical="center" wrapText="1"/>
    </xf>
    <xf numFmtId="40" fontId="11" fillId="8" borderId="56" xfId="4" applyNumberFormat="1" applyFont="1" applyFill="1" applyBorder="1" applyAlignment="1">
      <alignment horizontal="center" vertical="center"/>
    </xf>
    <xf numFmtId="3" fontId="11" fillId="8" borderId="56" xfId="4" applyNumberFormat="1" applyFont="1" applyFill="1" applyBorder="1" applyAlignment="1">
      <alignment horizontal="center" vertical="center"/>
    </xf>
    <xf numFmtId="0" fontId="12" fillId="7" borderId="35" xfId="0" applyFont="1" applyFill="1" applyBorder="1" applyAlignment="1">
      <alignment horizontal="center" vertical="center" wrapText="1"/>
    </xf>
    <xf numFmtId="165" fontId="0" fillId="0" borderId="0" xfId="0" applyNumberFormat="1"/>
    <xf numFmtId="43" fontId="51" fillId="7" borderId="12" xfId="1" applyFont="1" applyFill="1" applyBorder="1" applyAlignment="1">
      <alignment vertical="center"/>
    </xf>
    <xf numFmtId="0" fontId="67" fillId="7" borderId="14" xfId="4" applyFont="1" applyFill="1" applyBorder="1" applyAlignment="1">
      <alignment horizontal="center" vertical="center"/>
    </xf>
    <xf numFmtId="3" fontId="60" fillId="7" borderId="12" xfId="5" applyNumberFormat="1" applyFont="1" applyFill="1" applyBorder="1" applyAlignment="1">
      <alignment vertical="center"/>
    </xf>
    <xf numFmtId="3" fontId="11" fillId="8" borderId="34" xfId="4" applyNumberFormat="1" applyFont="1" applyFill="1" applyBorder="1" applyAlignment="1">
      <alignment horizontal="center" vertical="center"/>
    </xf>
    <xf numFmtId="0" fontId="58" fillId="0" borderId="0" xfId="8" applyFont="1" applyFill="1" applyBorder="1" applyAlignment="1">
      <alignment horizontal="center" vertical="center" wrapText="1"/>
    </xf>
    <xf numFmtId="3" fontId="60" fillId="0" borderId="0" xfId="5" applyNumberFormat="1" applyFont="1" applyFill="1" applyBorder="1" applyAlignment="1">
      <alignment vertical="center"/>
    </xf>
    <xf numFmtId="2" fontId="58" fillId="0" borderId="0" xfId="6" applyNumberFormat="1" applyFont="1" applyFill="1" applyBorder="1" applyAlignment="1">
      <alignment horizontal="center" vertical="center"/>
    </xf>
    <xf numFmtId="10" fontId="58" fillId="6" borderId="0" xfId="6" applyNumberFormat="1" applyFont="1" applyFill="1" applyBorder="1" applyAlignment="1">
      <alignment vertical="center"/>
    </xf>
    <xf numFmtId="0" fontId="58" fillId="0" borderId="0" xfId="4" applyFont="1" applyBorder="1" applyAlignment="1">
      <alignment horizontal="center" vertical="center" wrapText="1"/>
    </xf>
    <xf numFmtId="0" fontId="69" fillId="0" borderId="0" xfId="0" applyFont="1"/>
    <xf numFmtId="0" fontId="62" fillId="0" borderId="0" xfId="4" applyFont="1" applyAlignment="1">
      <alignment vertical="center"/>
    </xf>
    <xf numFmtId="0" fontId="62" fillId="0" borderId="0" xfId="4" applyFont="1"/>
    <xf numFmtId="2" fontId="62" fillId="0" borderId="0" xfId="6" applyNumberFormat="1" applyFont="1" applyFill="1" applyBorder="1" applyAlignment="1">
      <alignment vertical="center"/>
    </xf>
    <xf numFmtId="0" fontId="62" fillId="0" borderId="0" xfId="4" applyFont="1" applyAlignment="1">
      <alignment horizontal="center"/>
    </xf>
    <xf numFmtId="49" fontId="58" fillId="6" borderId="37" xfId="0" applyNumberFormat="1" applyFont="1" applyFill="1" applyBorder="1" applyAlignment="1">
      <alignment horizontal="center" vertical="center"/>
    </xf>
    <xf numFmtId="0" fontId="58" fillId="6" borderId="37" xfId="0" applyFont="1" applyFill="1" applyBorder="1" applyAlignment="1">
      <alignment horizontal="justify" vertical="center" wrapText="1"/>
    </xf>
    <xf numFmtId="2" fontId="58" fillId="0" borderId="37" xfId="6" applyNumberFormat="1" applyFont="1" applyFill="1" applyBorder="1" applyAlignment="1">
      <alignment horizontal="center" vertical="center"/>
    </xf>
    <xf numFmtId="0" fontId="68" fillId="0" borderId="0" xfId="0" applyFont="1" applyBorder="1" applyAlignment="1"/>
    <xf numFmtId="165" fontId="0" fillId="0" borderId="0" xfId="2" applyNumberFormat="1" applyFont="1" applyBorder="1" applyAlignment="1">
      <alignment wrapText="1"/>
    </xf>
    <xf numFmtId="44" fontId="0" fillId="0" borderId="7" xfId="2" applyFont="1" applyBorder="1" applyAlignment="1">
      <alignment vertical="center"/>
    </xf>
    <xf numFmtId="44" fontId="0" fillId="0" borderId="8" xfId="2" applyFont="1" applyBorder="1" applyAlignment="1">
      <alignment vertical="center"/>
    </xf>
    <xf numFmtId="44" fontId="0" fillId="0" borderId="8" xfId="2" applyFont="1" applyBorder="1" applyAlignment="1">
      <alignment horizontal="center"/>
    </xf>
    <xf numFmtId="44" fontId="0" fillId="0" borderId="28" xfId="2" applyFont="1" applyBorder="1" applyAlignment="1">
      <alignment horizontal="center"/>
    </xf>
    <xf numFmtId="0" fontId="41" fillId="0" borderId="0" xfId="0" applyFont="1" applyFill="1" applyAlignment="1">
      <alignment vertical="top" wrapText="1"/>
    </xf>
    <xf numFmtId="10" fontId="58" fillId="0" borderId="0" xfId="6" applyNumberFormat="1" applyFont="1" applyFill="1" applyBorder="1" applyAlignment="1">
      <alignment horizontal="center" vertical="center" wrapText="1"/>
    </xf>
    <xf numFmtId="164" fontId="60" fillId="7" borderId="12" xfId="1" applyNumberFormat="1" applyFont="1" applyFill="1" applyBorder="1" applyAlignment="1">
      <alignment vertical="center"/>
    </xf>
    <xf numFmtId="164" fontId="60" fillId="0" borderId="21" xfId="1" applyNumberFormat="1" applyFont="1" applyFill="1" applyBorder="1" applyAlignment="1">
      <alignment vertical="center"/>
    </xf>
    <xf numFmtId="49" fontId="58" fillId="0" borderId="21" xfId="6" applyNumberFormat="1" applyFont="1" applyFill="1" applyBorder="1" applyAlignment="1">
      <alignment horizontal="center" vertical="center"/>
    </xf>
    <xf numFmtId="0" fontId="18" fillId="7" borderId="58" xfId="4" applyFont="1" applyFill="1" applyBorder="1" applyAlignment="1">
      <alignment horizontal="center" vertical="center"/>
    </xf>
    <xf numFmtId="44" fontId="70" fillId="0" borderId="0" xfId="2" applyFont="1" applyBorder="1" applyAlignment="1"/>
    <xf numFmtId="3" fontId="60" fillId="0" borderId="42" xfId="9" applyNumberFormat="1" applyFont="1" applyFill="1" applyBorder="1" applyAlignment="1">
      <alignment vertical="center"/>
    </xf>
    <xf numFmtId="3" fontId="60" fillId="0" borderId="21" xfId="9" applyNumberFormat="1" applyFont="1" applyFill="1" applyBorder="1" applyAlignment="1">
      <alignment vertical="center"/>
    </xf>
    <xf numFmtId="0" fontId="28" fillId="0" borderId="76" xfId="0" applyFont="1" applyBorder="1" applyAlignment="1"/>
    <xf numFmtId="0" fontId="28" fillId="0" borderId="77" xfId="0" applyFont="1" applyBorder="1" applyAlignment="1"/>
    <xf numFmtId="0" fontId="28" fillId="0" borderId="25" xfId="0" applyFont="1" applyBorder="1" applyAlignment="1"/>
    <xf numFmtId="0" fontId="28" fillId="0" borderId="4" xfId="0" applyFont="1" applyBorder="1" applyAlignment="1"/>
    <xf numFmtId="165" fontId="28" fillId="0" borderId="0" xfId="2" applyNumberFormat="1" applyFont="1" applyBorder="1" applyAlignment="1">
      <alignment horizontal="center"/>
    </xf>
    <xf numFmtId="0" fontId="14" fillId="0" borderId="0" xfId="4" applyFont="1" applyFill="1" applyBorder="1" applyAlignment="1">
      <alignment horizontal="left" vertical="center"/>
    </xf>
    <xf numFmtId="165" fontId="28" fillId="0" borderId="7" xfId="2" applyNumberFormat="1" applyFont="1" applyBorder="1" applyAlignment="1"/>
    <xf numFmtId="165" fontId="28" fillId="0" borderId="8" xfId="2" applyNumberFormat="1" applyFont="1" applyBorder="1" applyAlignment="1"/>
    <xf numFmtId="165" fontId="28" fillId="0" borderId="28" xfId="0" applyNumberFormat="1" applyFont="1" applyBorder="1"/>
    <xf numFmtId="164" fontId="17" fillId="0" borderId="0" xfId="9" applyNumberFormat="1" applyFont="1" applyFill="1" applyBorder="1" applyAlignment="1">
      <alignment horizontal="center" vertical="center"/>
    </xf>
    <xf numFmtId="4" fontId="17" fillId="0" borderId="0" xfId="9"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5"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71" fillId="0" borderId="0" xfId="0" applyFont="1" applyBorder="1" applyAlignment="1"/>
    <xf numFmtId="165" fontId="28" fillId="0" borderId="64" xfId="2" applyNumberFormat="1" applyFont="1" applyBorder="1" applyAlignment="1"/>
    <xf numFmtId="3" fontId="60" fillId="0" borderId="49" xfId="5" applyNumberFormat="1" applyFont="1" applyFill="1" applyBorder="1" applyAlignment="1">
      <alignment vertical="center"/>
    </xf>
    <xf numFmtId="3" fontId="58" fillId="0" borderId="49" xfId="5" applyNumberFormat="1" applyFont="1" applyFill="1" applyBorder="1" applyAlignment="1">
      <alignment vertical="center"/>
    </xf>
    <xf numFmtId="40" fontId="58" fillId="0" borderId="49" xfId="5" applyNumberFormat="1" applyFont="1" applyFill="1" applyBorder="1" applyAlignment="1">
      <alignment vertical="center"/>
    </xf>
    <xf numFmtId="2" fontId="58" fillId="0" borderId="49" xfId="6" applyNumberFormat="1" applyFont="1" applyFill="1" applyBorder="1" applyAlignment="1">
      <alignment horizontal="center" vertical="center"/>
    </xf>
    <xf numFmtId="3" fontId="58" fillId="0" borderId="49" xfId="6" applyNumberFormat="1" applyFont="1" applyFill="1" applyBorder="1" applyAlignment="1">
      <alignment horizontal="center" vertical="center" wrapText="1"/>
    </xf>
    <xf numFmtId="0" fontId="58" fillId="0" borderId="37" xfId="4" applyFont="1" applyFill="1" applyBorder="1" applyAlignment="1">
      <alignment horizontal="center" vertical="center" wrapText="1"/>
    </xf>
    <xf numFmtId="0" fontId="58" fillId="0" borderId="42" xfId="4" applyFont="1" applyFill="1" applyBorder="1" applyAlignment="1">
      <alignment horizontal="center" vertical="center" wrapText="1"/>
    </xf>
    <xf numFmtId="2" fontId="58" fillId="0" borderId="49" xfId="1" applyNumberFormat="1" applyFont="1" applyFill="1" applyBorder="1" applyAlignment="1">
      <alignment horizontal="center" vertical="center" wrapText="1"/>
    </xf>
    <xf numFmtId="3" fontId="60" fillId="0" borderId="50" xfId="5" applyNumberFormat="1" applyFont="1" applyFill="1" applyBorder="1" applyAlignment="1">
      <alignment vertical="center"/>
    </xf>
    <xf numFmtId="14" fontId="59" fillId="0" borderId="0" xfId="4" applyNumberFormat="1" applyFont="1" applyFill="1" applyBorder="1" applyAlignment="1">
      <alignment horizontal="center" vertical="center" wrapText="1"/>
    </xf>
    <xf numFmtId="0" fontId="59" fillId="0" borderId="0" xfId="4" applyFont="1" applyFill="1" applyBorder="1" applyAlignment="1">
      <alignment horizontal="center" vertical="center" wrapText="1"/>
    </xf>
    <xf numFmtId="3" fontId="58" fillId="0" borderId="0" xfId="5" applyNumberFormat="1" applyFont="1" applyFill="1" applyBorder="1" applyAlignment="1">
      <alignment vertical="center"/>
    </xf>
    <xf numFmtId="10" fontId="58" fillId="0" borderId="0" xfId="6" applyNumberFormat="1" applyFont="1" applyFill="1" applyBorder="1" applyAlignment="1">
      <alignment vertical="center"/>
    </xf>
    <xf numFmtId="3" fontId="62" fillId="0" borderId="0" xfId="4" applyNumberFormat="1" applyFont="1"/>
    <xf numFmtId="4" fontId="62" fillId="0" borderId="0" xfId="4" applyNumberFormat="1" applyFont="1"/>
    <xf numFmtId="0" fontId="62" fillId="0" borderId="0" xfId="8" applyFont="1"/>
    <xf numFmtId="3" fontId="17" fillId="6" borderId="0" xfId="5" applyNumberFormat="1" applyFont="1" applyFill="1" applyBorder="1" applyAlignment="1">
      <alignment vertical="center"/>
    </xf>
    <xf numFmtId="4" fontId="69" fillId="0" borderId="0" xfId="0" applyNumberFormat="1" applyFont="1"/>
    <xf numFmtId="43" fontId="69" fillId="0" borderId="0" xfId="0" applyNumberFormat="1" applyFont="1"/>
    <xf numFmtId="2" fontId="69" fillId="0" borderId="0" xfId="0" applyNumberFormat="1" applyFont="1"/>
    <xf numFmtId="165" fontId="28" fillId="0" borderId="67" xfId="2" applyNumberFormat="1" applyFont="1" applyBorder="1" applyAlignment="1"/>
    <xf numFmtId="165" fontId="28" fillId="0" borderId="0" xfId="2" applyNumberFormat="1" applyFont="1" applyBorder="1" applyAlignment="1"/>
    <xf numFmtId="165" fontId="28" fillId="15" borderId="69" xfId="2" applyNumberFormat="1" applyFont="1" applyFill="1" applyBorder="1" applyAlignment="1"/>
    <xf numFmtId="165" fontId="28" fillId="0" borderId="71" xfId="2" applyNumberFormat="1" applyFont="1" applyBorder="1" applyAlignment="1"/>
    <xf numFmtId="165" fontId="28" fillId="0" borderId="90" xfId="2" applyNumberFormat="1" applyFont="1" applyBorder="1" applyAlignment="1"/>
    <xf numFmtId="165" fontId="28" fillId="0" borderId="0" xfId="2" applyNumberFormat="1" applyFont="1" applyFill="1" applyBorder="1" applyAlignment="1"/>
    <xf numFmtId="165" fontId="28" fillId="0" borderId="44" xfId="2" applyNumberFormat="1" applyFont="1" applyFill="1" applyBorder="1" applyAlignment="1"/>
    <xf numFmtId="165" fontId="28" fillId="0" borderId="28" xfId="2" applyNumberFormat="1" applyFont="1" applyBorder="1" applyAlignment="1"/>
    <xf numFmtId="165" fontId="55" fillId="0" borderId="0" xfId="2" applyNumberFormat="1" applyFont="1" applyBorder="1" applyAlignment="1"/>
    <xf numFmtId="0" fontId="70" fillId="0" borderId="0" xfId="0" applyFont="1" applyBorder="1" applyAlignment="1"/>
    <xf numFmtId="43" fontId="0" fillId="0" borderId="0" xfId="1" applyFont="1" applyFill="1"/>
    <xf numFmtId="43" fontId="46" fillId="0" borderId="0" xfId="1" applyFont="1"/>
    <xf numFmtId="43" fontId="2" fillId="0" borderId="0" xfId="1" applyFont="1" applyFill="1" applyAlignment="1">
      <alignment horizontal="center"/>
    </xf>
    <xf numFmtId="43" fontId="46" fillId="0" borderId="0" xfId="1" applyFont="1" applyFill="1" applyAlignment="1">
      <alignment wrapText="1"/>
    </xf>
    <xf numFmtId="164" fontId="46" fillId="0" borderId="0" xfId="1" applyNumberFormat="1" applyFont="1" applyFill="1" applyAlignment="1">
      <alignment wrapText="1"/>
    </xf>
    <xf numFmtId="0" fontId="46" fillId="0" borderId="0" xfId="0" applyFont="1" applyFill="1" applyAlignment="1">
      <alignment horizontal="center"/>
    </xf>
    <xf numFmtId="0" fontId="46" fillId="0" borderId="0" xfId="0" applyFont="1" applyFill="1" applyAlignment="1">
      <alignment horizontal="center" wrapText="1"/>
    </xf>
    <xf numFmtId="165" fontId="70" fillId="0" borderId="81" xfId="2" applyNumberFormat="1" applyFont="1" applyBorder="1" applyAlignment="1"/>
    <xf numFmtId="165" fontId="70" fillId="0" borderId="87" xfId="2" applyNumberFormat="1" applyFont="1" applyBorder="1" applyAlignment="1"/>
    <xf numFmtId="165" fontId="70" fillId="0" borderId="91" xfId="2" applyNumberFormat="1" applyFont="1" applyBorder="1" applyAlignment="1"/>
    <xf numFmtId="165" fontId="70" fillId="0" borderId="0" xfId="2" applyNumberFormat="1" applyFont="1" applyBorder="1" applyAlignment="1"/>
    <xf numFmtId="165" fontId="46" fillId="0" borderId="69" xfId="2" applyNumberFormat="1" applyFont="1" applyBorder="1" applyAlignment="1"/>
    <xf numFmtId="165" fontId="46" fillId="0" borderId="71" xfId="2" applyNumberFormat="1" applyFont="1" applyBorder="1" applyAlignment="1"/>
    <xf numFmtId="165" fontId="46" fillId="0" borderId="90" xfId="2" applyNumberFormat="1" applyFont="1" applyBorder="1" applyAlignment="1"/>
    <xf numFmtId="165" fontId="46" fillId="0" borderId="44" xfId="2" applyNumberFormat="1" applyFont="1" applyBorder="1" applyAlignment="1"/>
    <xf numFmtId="165" fontId="46" fillId="0" borderId="64" xfId="2" applyNumberFormat="1" applyFont="1" applyBorder="1" applyAlignment="1"/>
    <xf numFmtId="165" fontId="46" fillId="0" borderId="67" xfId="2" applyNumberFormat="1" applyFont="1" applyBorder="1" applyAlignment="1"/>
    <xf numFmtId="3" fontId="60" fillId="0" borderId="38" xfId="9" applyNumberFormat="1" applyFont="1" applyFill="1" applyBorder="1" applyAlignment="1">
      <alignment vertical="center"/>
    </xf>
    <xf numFmtId="164" fontId="58" fillId="0" borderId="37" xfId="1" applyNumberFormat="1" applyFont="1" applyFill="1" applyBorder="1" applyAlignment="1">
      <alignment vertical="center"/>
    </xf>
    <xf numFmtId="2" fontId="58" fillId="0" borderId="21" xfId="6" applyNumberFormat="1" applyFont="1" applyFill="1" applyBorder="1" applyAlignment="1">
      <alignment vertical="center"/>
    </xf>
    <xf numFmtId="49" fontId="58" fillId="0" borderId="37" xfId="0" applyNumberFormat="1" applyFont="1" applyFill="1" applyBorder="1" applyAlignment="1">
      <alignment horizontal="center" vertical="center" wrapText="1"/>
    </xf>
    <xf numFmtId="43" fontId="60" fillId="0" borderId="21" xfId="1" applyFont="1" applyFill="1" applyBorder="1" applyAlignment="1">
      <alignment vertical="center"/>
    </xf>
    <xf numFmtId="0" fontId="58" fillId="0" borderId="0" xfId="0" applyFont="1" applyFill="1" applyBorder="1" applyAlignment="1">
      <alignment horizontal="center" vertical="center"/>
    </xf>
    <xf numFmtId="15" fontId="58" fillId="0" borderId="0" xfId="0" applyNumberFormat="1" applyFont="1" applyFill="1" applyBorder="1" applyAlignment="1">
      <alignment horizontal="center" vertical="center"/>
    </xf>
    <xf numFmtId="49" fontId="58" fillId="0" borderId="0" xfId="0" applyNumberFormat="1" applyFont="1" applyFill="1" applyBorder="1" applyAlignment="1">
      <alignment horizontal="center" vertical="center" wrapText="1"/>
    </xf>
    <xf numFmtId="164" fontId="60" fillId="0" borderId="0" xfId="1" applyNumberFormat="1" applyFont="1" applyFill="1" applyBorder="1" applyAlignment="1">
      <alignment vertical="center"/>
    </xf>
    <xf numFmtId="3" fontId="60" fillId="0" borderId="0" xfId="9" applyNumberFormat="1" applyFont="1" applyFill="1" applyBorder="1" applyAlignment="1">
      <alignment vertical="center"/>
    </xf>
    <xf numFmtId="4" fontId="58" fillId="0" borderId="0" xfId="5" applyNumberFormat="1" applyFont="1" applyFill="1" applyBorder="1" applyAlignment="1">
      <alignment horizontal="center" vertical="center"/>
    </xf>
    <xf numFmtId="9" fontId="58" fillId="0" borderId="0" xfId="3" applyFont="1" applyFill="1" applyBorder="1" applyAlignment="1">
      <alignment horizontal="center" vertical="center"/>
    </xf>
    <xf numFmtId="10" fontId="58" fillId="6" borderId="0" xfId="10" applyNumberFormat="1" applyFont="1" applyFill="1" applyBorder="1" applyAlignment="1">
      <alignment vertical="center"/>
    </xf>
    <xf numFmtId="2" fontId="58" fillId="0" borderId="0" xfId="6" applyNumberFormat="1" applyFont="1" applyFill="1" applyBorder="1" applyAlignment="1">
      <alignment vertical="center"/>
    </xf>
    <xf numFmtId="49" fontId="58" fillId="0" borderId="0" xfId="6" applyNumberFormat="1" applyFont="1" applyFill="1" applyBorder="1" applyAlignment="1">
      <alignment horizontal="center" vertical="center"/>
    </xf>
    <xf numFmtId="0" fontId="58" fillId="0" borderId="0" xfId="0" applyFont="1" applyFill="1" applyBorder="1" applyAlignment="1">
      <alignment horizontal="center" vertical="center" wrapText="1"/>
    </xf>
    <xf numFmtId="0" fontId="60" fillId="0" borderId="0" xfId="0" applyFont="1" applyFill="1" applyBorder="1" applyAlignment="1">
      <alignment vertical="center" wrapText="1"/>
    </xf>
    <xf numFmtId="9" fontId="58" fillId="0" borderId="0" xfId="0" applyNumberFormat="1" applyFont="1" applyFill="1" applyBorder="1" applyAlignment="1">
      <alignment vertical="center" wrapText="1"/>
    </xf>
    <xf numFmtId="164" fontId="60" fillId="0" borderId="0" xfId="5" applyNumberFormat="1" applyFont="1" applyFill="1" applyBorder="1" applyAlignment="1">
      <alignment vertical="center"/>
    </xf>
    <xf numFmtId="10" fontId="58" fillId="0" borderId="0" xfId="10" applyNumberFormat="1" applyFont="1" applyFill="1" applyBorder="1" applyAlignment="1">
      <alignment horizontal="center" vertical="center"/>
    </xf>
    <xf numFmtId="10" fontId="58" fillId="0" borderId="0" xfId="10" applyNumberFormat="1" applyFont="1" applyFill="1" applyBorder="1" applyAlignment="1">
      <alignment vertical="center"/>
    </xf>
    <xf numFmtId="164" fontId="58" fillId="0" borderId="0" xfId="6" applyNumberFormat="1" applyFont="1" applyFill="1" applyBorder="1" applyAlignment="1">
      <alignment horizontal="center" vertical="center" wrapText="1"/>
    </xf>
    <xf numFmtId="49" fontId="58" fillId="0" borderId="39" xfId="0" applyNumberFormat="1" applyFont="1" applyFill="1" applyBorder="1" applyAlignment="1">
      <alignment horizontal="center" vertical="center"/>
    </xf>
    <xf numFmtId="3" fontId="60" fillId="7" borderId="12" xfId="1" applyNumberFormat="1" applyFont="1" applyFill="1" applyBorder="1" applyAlignment="1">
      <alignment vertical="center"/>
    </xf>
    <xf numFmtId="164" fontId="58" fillId="0" borderId="0" xfId="10" applyNumberFormat="1" applyFont="1" applyFill="1" applyBorder="1" applyAlignment="1">
      <alignment horizontal="center" vertical="center"/>
    </xf>
    <xf numFmtId="43" fontId="58" fillId="0" borderId="0" xfId="10" applyNumberFormat="1" applyFont="1" applyFill="1" applyBorder="1" applyAlignment="1">
      <alignment vertical="center"/>
    </xf>
    <xf numFmtId="43" fontId="58" fillId="0" borderId="0" xfId="6" applyNumberFormat="1" applyFont="1" applyFill="1" applyBorder="1" applyAlignment="1">
      <alignment horizontal="center" vertical="center" wrapText="1"/>
    </xf>
    <xf numFmtId="3" fontId="58" fillId="0" borderId="0" xfId="6" applyNumberFormat="1" applyFont="1" applyFill="1" applyBorder="1" applyAlignment="1">
      <alignment horizontal="center" vertical="center"/>
    </xf>
    <xf numFmtId="43" fontId="58" fillId="0" borderId="0" xfId="0" applyNumberFormat="1" applyFont="1" applyFill="1" applyBorder="1" applyAlignment="1">
      <alignment horizontal="center" vertical="center" wrapText="1"/>
    </xf>
    <xf numFmtId="43" fontId="58" fillId="0" borderId="0" xfId="1" applyFont="1" applyFill="1" applyBorder="1" applyAlignment="1">
      <alignment horizontal="center" vertical="center" wrapText="1"/>
    </xf>
    <xf numFmtId="9" fontId="58" fillId="6" borderId="37" xfId="10" applyNumberFormat="1" applyFont="1" applyFill="1" applyBorder="1" applyAlignment="1">
      <alignment horizontal="center" vertical="center"/>
    </xf>
    <xf numFmtId="9" fontId="58" fillId="6" borderId="21" xfId="10" applyNumberFormat="1" applyFont="1" applyFill="1" applyBorder="1" applyAlignment="1">
      <alignment horizontal="center" vertical="center"/>
    </xf>
    <xf numFmtId="165" fontId="70" fillId="0" borderId="44" xfId="2" applyNumberFormat="1" applyFont="1" applyBorder="1" applyAlignment="1"/>
    <xf numFmtId="165" fontId="70" fillId="0" borderId="64" xfId="2" applyNumberFormat="1" applyFont="1" applyBorder="1" applyAlignment="1"/>
    <xf numFmtId="165" fontId="70" fillId="0" borderId="67" xfId="2" applyNumberFormat="1" applyFont="1" applyBorder="1" applyAlignment="1"/>
    <xf numFmtId="0" fontId="58" fillId="0" borderId="41" xfId="0" applyFont="1" applyFill="1" applyBorder="1" applyAlignment="1">
      <alignment horizontal="center" vertical="center"/>
    </xf>
    <xf numFmtId="15" fontId="58" fillId="0" borderId="42" xfId="0" applyNumberFormat="1" applyFont="1" applyFill="1" applyBorder="1" applyAlignment="1">
      <alignment horizontal="center" vertical="center"/>
    </xf>
    <xf numFmtId="0" fontId="58" fillId="0" borderId="42" xfId="0" applyFont="1" applyFill="1" applyBorder="1" applyAlignment="1">
      <alignment horizontal="center" vertical="center" wrapText="1"/>
    </xf>
    <xf numFmtId="49" fontId="58" fillId="0" borderId="42" xfId="0" applyNumberFormat="1" applyFont="1" applyFill="1" applyBorder="1" applyAlignment="1">
      <alignment horizontal="center" vertical="center"/>
    </xf>
    <xf numFmtId="49" fontId="58" fillId="6" borderId="42" xfId="0" applyNumberFormat="1" applyFont="1" applyFill="1" applyBorder="1" applyAlignment="1">
      <alignment horizontal="center" vertical="center"/>
    </xf>
    <xf numFmtId="0" fontId="58" fillId="6" borderId="42" xfId="0" applyFont="1" applyFill="1" applyBorder="1" applyAlignment="1">
      <alignment horizontal="justify" vertical="center" wrapText="1"/>
    </xf>
    <xf numFmtId="3" fontId="58" fillId="0" borderId="42" xfId="9" applyNumberFormat="1" applyFont="1" applyFill="1" applyBorder="1" applyAlignment="1">
      <alignment vertical="center"/>
    </xf>
    <xf numFmtId="4" fontId="58" fillId="0" borderId="42" xfId="5" applyNumberFormat="1" applyFont="1" applyFill="1" applyBorder="1" applyAlignment="1">
      <alignment horizontal="center" vertical="center"/>
    </xf>
    <xf numFmtId="49" fontId="58" fillId="0" borderId="42" xfId="6" applyNumberFormat="1" applyFont="1" applyFill="1" applyBorder="1" applyAlignment="1">
      <alignment horizontal="center" vertical="center"/>
    </xf>
    <xf numFmtId="0" fontId="58" fillId="0" borderId="43" xfId="0" applyFont="1" applyFill="1" applyBorder="1" applyAlignment="1">
      <alignment horizontal="center" vertical="center" wrapText="1"/>
    </xf>
    <xf numFmtId="0" fontId="58" fillId="0" borderId="44" xfId="0" applyFont="1" applyFill="1" applyBorder="1" applyAlignment="1">
      <alignment horizontal="center" vertical="center" wrapText="1"/>
    </xf>
    <xf numFmtId="0" fontId="58" fillId="0" borderId="45" xfId="0" applyFont="1" applyFill="1" applyBorder="1" applyAlignment="1">
      <alignment horizontal="center" vertical="center"/>
    </xf>
    <xf numFmtId="15" fontId="58" fillId="0" borderId="46" xfId="0" applyNumberFormat="1" applyFont="1" applyFill="1" applyBorder="1" applyAlignment="1">
      <alignment horizontal="center" vertical="center"/>
    </xf>
    <xf numFmtId="0" fontId="58" fillId="0" borderId="46" xfId="0" applyFont="1" applyFill="1" applyBorder="1" applyAlignment="1">
      <alignment horizontal="center" vertical="center" wrapText="1"/>
    </xf>
    <xf numFmtId="49" fontId="58" fillId="0" borderId="46" xfId="0" applyNumberFormat="1" applyFont="1" applyFill="1" applyBorder="1" applyAlignment="1">
      <alignment horizontal="center" vertical="center"/>
    </xf>
    <xf numFmtId="49" fontId="58" fillId="6" borderId="46" xfId="0" applyNumberFormat="1" applyFont="1" applyFill="1" applyBorder="1" applyAlignment="1">
      <alignment horizontal="center" vertical="center"/>
    </xf>
    <xf numFmtId="0" fontId="58" fillId="6" borderId="46" xfId="0" applyFont="1" applyFill="1" applyBorder="1" applyAlignment="1">
      <alignment horizontal="justify" vertical="center" wrapText="1"/>
    </xf>
    <xf numFmtId="3" fontId="60" fillId="0" borderId="46" xfId="5" applyNumberFormat="1" applyFont="1" applyFill="1" applyBorder="1" applyAlignment="1">
      <alignment vertical="center"/>
    </xf>
    <xf numFmtId="3" fontId="58" fillId="0" borderId="46" xfId="9" applyNumberFormat="1" applyFont="1" applyFill="1" applyBorder="1" applyAlignment="1">
      <alignment vertical="center"/>
    </xf>
    <xf numFmtId="4" fontId="58" fillId="0" borderId="46" xfId="5" applyNumberFormat="1" applyFont="1" applyFill="1" applyBorder="1" applyAlignment="1">
      <alignment horizontal="center" vertical="center"/>
    </xf>
    <xf numFmtId="10" fontId="58" fillId="0" borderId="46" xfId="6" applyNumberFormat="1" applyFont="1" applyFill="1" applyBorder="1" applyAlignment="1">
      <alignment horizontal="center" vertical="center" wrapText="1"/>
    </xf>
    <xf numFmtId="2" fontId="58" fillId="0" borderId="46" xfId="6" applyNumberFormat="1" applyFont="1" applyFill="1" applyBorder="1" applyAlignment="1">
      <alignment horizontal="center" vertical="center"/>
    </xf>
    <xf numFmtId="49" fontId="58" fillId="0" borderId="46" xfId="6" applyNumberFormat="1" applyFont="1" applyFill="1" applyBorder="1" applyAlignment="1">
      <alignment horizontal="center" vertical="center"/>
    </xf>
    <xf numFmtId="0" fontId="58" fillId="0" borderId="47" xfId="0" applyFont="1" applyFill="1" applyBorder="1" applyAlignment="1">
      <alignment horizontal="center" vertical="center" wrapText="1"/>
    </xf>
    <xf numFmtId="0" fontId="58" fillId="0" borderId="48" xfId="0" applyFont="1" applyFill="1" applyBorder="1" applyAlignment="1">
      <alignment horizontal="center" vertical="center" wrapText="1"/>
    </xf>
    <xf numFmtId="0" fontId="72" fillId="0" borderId="21" xfId="8" applyFont="1" applyFill="1" applyBorder="1" applyAlignment="1">
      <alignment horizontal="center" vertical="center" wrapText="1"/>
    </xf>
    <xf numFmtId="14" fontId="72" fillId="0" borderId="21" xfId="4" applyNumberFormat="1" applyFont="1" applyFill="1" applyBorder="1" applyAlignment="1">
      <alignment horizontal="center" vertical="center" wrapText="1"/>
    </xf>
    <xf numFmtId="0" fontId="72" fillId="0" borderId="21" xfId="4" applyFont="1" applyFill="1" applyBorder="1" applyAlignment="1">
      <alignment horizontal="center" vertical="center" wrapText="1"/>
    </xf>
    <xf numFmtId="0" fontId="65" fillId="6" borderId="21" xfId="8" applyFont="1" applyFill="1" applyBorder="1" applyAlignment="1">
      <alignment horizontal="justify" vertical="center" wrapText="1"/>
    </xf>
    <xf numFmtId="3" fontId="73" fillId="0" borderId="21" xfId="5" applyNumberFormat="1" applyFont="1" applyFill="1" applyBorder="1" applyAlignment="1">
      <alignment vertical="center"/>
    </xf>
    <xf numFmtId="3" fontId="73" fillId="0" borderId="37" xfId="5" applyNumberFormat="1" applyFont="1" applyFill="1" applyBorder="1" applyAlignment="1">
      <alignment vertical="center"/>
    </xf>
    <xf numFmtId="2" fontId="72" fillId="0" borderId="21" xfId="6" applyNumberFormat="1" applyFont="1" applyFill="1" applyBorder="1" applyAlignment="1">
      <alignment horizontal="center" vertical="center"/>
    </xf>
    <xf numFmtId="10" fontId="72" fillId="0" borderId="21" xfId="6" applyNumberFormat="1" applyFont="1" applyFill="1" applyBorder="1" applyAlignment="1">
      <alignment horizontal="center" vertical="center" wrapText="1"/>
    </xf>
    <xf numFmtId="0" fontId="72" fillId="0" borderId="21" xfId="4" applyFont="1" applyBorder="1" applyAlignment="1">
      <alignment horizontal="center" vertical="center" wrapText="1"/>
    </xf>
    <xf numFmtId="3" fontId="72" fillId="0" borderId="21" xfId="4" applyNumberFormat="1" applyFont="1" applyFill="1" applyBorder="1" applyAlignment="1">
      <alignment horizontal="center" vertical="center" wrapText="1"/>
    </xf>
    <xf numFmtId="0" fontId="72" fillId="6" borderId="21" xfId="8" applyFont="1" applyFill="1" applyBorder="1" applyAlignment="1">
      <alignment horizontal="justify" vertical="center" wrapText="1"/>
    </xf>
    <xf numFmtId="3" fontId="73" fillId="6" borderId="37" xfId="5" applyNumberFormat="1" applyFont="1" applyFill="1" applyBorder="1" applyAlignment="1">
      <alignment vertical="center"/>
    </xf>
    <xf numFmtId="0" fontId="72" fillId="0" borderId="21" xfId="8" applyFont="1" applyFill="1" applyBorder="1" applyAlignment="1">
      <alignment horizontal="justify" vertical="center" wrapText="1"/>
    </xf>
    <xf numFmtId="164" fontId="60" fillId="7" borderId="61" xfId="1" applyNumberFormat="1" applyFont="1" applyFill="1" applyBorder="1" applyAlignment="1">
      <alignment vertical="center"/>
    </xf>
    <xf numFmtId="43" fontId="60" fillId="7" borderId="61" xfId="1" applyFont="1" applyFill="1" applyBorder="1" applyAlignment="1">
      <alignment vertical="center"/>
    </xf>
    <xf numFmtId="43" fontId="60" fillId="7" borderId="80" xfId="1" applyFont="1" applyFill="1" applyBorder="1" applyAlignment="1">
      <alignment vertical="center"/>
    </xf>
    <xf numFmtId="0" fontId="3" fillId="0" borderId="0" xfId="0" applyFont="1" applyFill="1" applyAlignment="1">
      <alignment vertical="center"/>
    </xf>
    <xf numFmtId="49" fontId="2" fillId="0" borderId="0" xfId="0" applyNumberFormat="1" applyFont="1" applyFill="1" applyAlignment="1"/>
    <xf numFmtId="3" fontId="74" fillId="0" borderId="21" xfId="1" applyNumberFormat="1" applyFont="1" applyFill="1" applyBorder="1" applyAlignment="1">
      <alignment vertical="center"/>
    </xf>
    <xf numFmtId="3" fontId="74" fillId="0" borderId="21" xfId="1" applyNumberFormat="1" applyFont="1" applyFill="1" applyBorder="1" applyAlignment="1">
      <alignment vertical="center" wrapText="1"/>
    </xf>
    <xf numFmtId="0" fontId="76" fillId="9" borderId="4" xfId="0" applyFont="1" applyFill="1" applyBorder="1" applyAlignment="1">
      <alignment horizontal="center" vertical="center"/>
    </xf>
    <xf numFmtId="43" fontId="76" fillId="10" borderId="4" xfId="1" applyFont="1" applyFill="1" applyBorder="1" applyAlignment="1">
      <alignment horizontal="center" vertical="center" wrapText="1"/>
    </xf>
    <xf numFmtId="0" fontId="49" fillId="0" borderId="0" xfId="0" applyFont="1" applyFill="1" applyAlignment="1">
      <alignment wrapText="1"/>
    </xf>
    <xf numFmtId="0" fontId="49" fillId="0" borderId="0" xfId="0" applyFont="1" applyFill="1" applyAlignment="1">
      <alignment vertical="top" wrapText="1"/>
    </xf>
    <xf numFmtId="0" fontId="49" fillId="0" borderId="0" xfId="0" applyFont="1" applyFill="1" applyAlignment="1">
      <alignment vertical="center"/>
    </xf>
    <xf numFmtId="0" fontId="50" fillId="0" borderId="0" xfId="0" applyFont="1" applyFill="1" applyAlignment="1">
      <alignment vertical="center"/>
    </xf>
    <xf numFmtId="3" fontId="76" fillId="0" borderId="99" xfId="1" applyNumberFormat="1" applyFont="1" applyFill="1" applyBorder="1"/>
    <xf numFmtId="3" fontId="76" fillId="0" borderId="99" xfId="1" applyNumberFormat="1" applyFont="1" applyBorder="1"/>
    <xf numFmtId="0" fontId="74" fillId="0" borderId="41" xfId="0" applyFont="1" applyFill="1" applyBorder="1" applyAlignment="1">
      <alignment vertical="center"/>
    </xf>
    <xf numFmtId="3" fontId="74" fillId="0" borderId="42" xfId="1" applyNumberFormat="1" applyFont="1" applyFill="1" applyBorder="1" applyAlignment="1">
      <alignment vertical="center"/>
    </xf>
    <xf numFmtId="0" fontId="74" fillId="0" borderId="20" xfId="0" applyFont="1" applyFill="1" applyBorder="1" applyAlignment="1">
      <alignment vertical="center"/>
    </xf>
    <xf numFmtId="0" fontId="74" fillId="0" borderId="20" xfId="0" applyFont="1" applyFill="1" applyBorder="1" applyAlignment="1">
      <alignment vertical="center" wrapText="1"/>
    </xf>
    <xf numFmtId="0" fontId="74" fillId="0" borderId="65" xfId="0" applyFont="1" applyBorder="1" applyAlignment="1">
      <alignment vertical="center" wrapText="1"/>
    </xf>
    <xf numFmtId="3" fontId="74" fillId="0" borderId="66" xfId="0" applyNumberFormat="1" applyFont="1" applyFill="1" applyBorder="1" applyAlignment="1">
      <alignment vertical="center"/>
    </xf>
    <xf numFmtId="3" fontId="74" fillId="0" borderId="66" xfId="1" applyNumberFormat="1" applyFont="1" applyFill="1" applyBorder="1" applyAlignment="1">
      <alignment vertical="center"/>
    </xf>
    <xf numFmtId="164" fontId="75" fillId="0" borderId="67" xfId="1" applyNumberFormat="1" applyFont="1" applyFill="1" applyBorder="1" applyAlignment="1">
      <alignment vertical="center"/>
    </xf>
    <xf numFmtId="0" fontId="48" fillId="0" borderId="13" xfId="0" applyFont="1" applyBorder="1"/>
    <xf numFmtId="3" fontId="76" fillId="0" borderId="0" xfId="1" applyNumberFormat="1" applyFont="1" applyFill="1" applyBorder="1"/>
    <xf numFmtId="3" fontId="76" fillId="0" borderId="0" xfId="1" applyNumberFormat="1" applyFont="1" applyBorder="1"/>
    <xf numFmtId="0" fontId="0" fillId="0" borderId="13" xfId="0" applyFill="1" applyBorder="1"/>
    <xf numFmtId="3" fontId="76" fillId="0" borderId="100" xfId="1" applyNumberFormat="1" applyFont="1" applyBorder="1"/>
    <xf numFmtId="0" fontId="70" fillId="0" borderId="0" xfId="0" applyFont="1" applyAlignment="1">
      <alignment horizontal="center"/>
    </xf>
    <xf numFmtId="43" fontId="70" fillId="0" borderId="0" xfId="1" applyFont="1"/>
    <xf numFmtId="43" fontId="70" fillId="0" borderId="0" xfId="0" applyNumberFormat="1" applyFont="1"/>
    <xf numFmtId="0" fontId="70" fillId="0" borderId="0" xfId="0" applyFont="1"/>
    <xf numFmtId="0" fontId="0" fillId="0" borderId="0" xfId="0" applyFill="1" applyBorder="1"/>
    <xf numFmtId="0" fontId="26" fillId="0" borderId="0" xfId="0" applyFont="1" applyFill="1" applyAlignment="1">
      <alignment vertical="top" wrapText="1"/>
    </xf>
    <xf numFmtId="3" fontId="60" fillId="6" borderId="37" xfId="5" applyNumberFormat="1" applyFont="1" applyFill="1" applyBorder="1" applyAlignment="1">
      <alignment vertical="center"/>
    </xf>
    <xf numFmtId="3" fontId="60" fillId="0" borderId="50" xfId="9" applyNumberFormat="1" applyFont="1" applyFill="1" applyBorder="1" applyAlignment="1">
      <alignment vertical="center"/>
    </xf>
    <xf numFmtId="3" fontId="60" fillId="6" borderId="21" xfId="9" applyNumberFormat="1" applyFont="1" applyFill="1" applyBorder="1" applyAlignment="1">
      <alignment vertical="center"/>
    </xf>
    <xf numFmtId="3" fontId="60" fillId="0" borderId="49" xfId="9" applyNumberFormat="1" applyFont="1" applyFill="1" applyBorder="1" applyAlignment="1">
      <alignment vertical="center"/>
    </xf>
    <xf numFmtId="3" fontId="60" fillId="6" borderId="49" xfId="9" applyNumberFormat="1" applyFont="1" applyFill="1" applyBorder="1" applyAlignment="1">
      <alignment vertical="center"/>
    </xf>
    <xf numFmtId="3" fontId="60" fillId="6" borderId="50" xfId="9" applyNumberFormat="1" applyFont="1" applyFill="1" applyBorder="1" applyAlignment="1">
      <alignment vertical="center"/>
    </xf>
    <xf numFmtId="3" fontId="60" fillId="6" borderId="21" xfId="5" applyNumberFormat="1" applyFont="1" applyFill="1" applyBorder="1" applyAlignment="1">
      <alignment vertical="center"/>
    </xf>
    <xf numFmtId="43" fontId="76" fillId="5" borderId="51" xfId="1" applyFont="1" applyFill="1" applyBorder="1" applyAlignment="1">
      <alignment vertical="center" wrapText="1"/>
    </xf>
    <xf numFmtId="43" fontId="79" fillId="5" borderId="6" xfId="1" applyFont="1" applyFill="1" applyBorder="1" applyAlignment="1">
      <alignment horizontal="center" vertical="center" wrapText="1"/>
    </xf>
    <xf numFmtId="3" fontId="0" fillId="0" borderId="13" xfId="0" applyNumberFormat="1" applyFill="1" applyBorder="1"/>
    <xf numFmtId="165" fontId="46" fillId="0" borderId="67" xfId="2" applyNumberFormat="1" applyFont="1" applyFill="1" applyBorder="1" applyAlignment="1"/>
    <xf numFmtId="167" fontId="74" fillId="0" borderId="0" xfId="0" applyNumberFormat="1" applyFont="1"/>
    <xf numFmtId="43" fontId="48" fillId="0" borderId="0" xfId="0" applyNumberFormat="1" applyFont="1"/>
    <xf numFmtId="9" fontId="58" fillId="0" borderId="37" xfId="10" applyNumberFormat="1" applyFont="1" applyFill="1" applyBorder="1" applyAlignment="1">
      <alignment horizontal="center" vertical="center"/>
    </xf>
    <xf numFmtId="9" fontId="58" fillId="0" borderId="49" xfId="6" applyNumberFormat="1" applyFont="1" applyFill="1" applyBorder="1" applyAlignment="1">
      <alignment horizontal="center" vertical="center"/>
    </xf>
    <xf numFmtId="49" fontId="58" fillId="0" borderId="0" xfId="0" applyNumberFormat="1" applyFont="1" applyFill="1" applyBorder="1" applyAlignment="1">
      <alignment horizontal="center" vertical="center"/>
    </xf>
    <xf numFmtId="3" fontId="0" fillId="0" borderId="0" xfId="0" applyNumberFormat="1" applyFill="1"/>
    <xf numFmtId="0" fontId="70" fillId="0" borderId="0" xfId="0" applyFont="1" applyAlignment="1">
      <alignment wrapText="1"/>
    </xf>
    <xf numFmtId="0" fontId="0" fillId="0" borderId="0" xfId="0" applyAlignment="1">
      <alignment horizontal="center"/>
    </xf>
    <xf numFmtId="0" fontId="12" fillId="7" borderId="15" xfId="0" applyFont="1" applyFill="1" applyBorder="1" applyAlignment="1">
      <alignment horizontal="center" vertical="center" wrapText="1"/>
    </xf>
    <xf numFmtId="49" fontId="54" fillId="0" borderId="0" xfId="0" applyNumberFormat="1" applyFont="1" applyAlignment="1">
      <alignment horizontal="right"/>
    </xf>
    <xf numFmtId="0" fontId="82" fillId="0" borderId="0" xfId="4" applyFont="1" applyAlignment="1">
      <alignment horizontal="right"/>
    </xf>
    <xf numFmtId="43" fontId="0" fillId="0" borderId="0" xfId="1" applyFont="1" applyBorder="1" applyAlignment="1">
      <alignment horizontal="center"/>
    </xf>
    <xf numFmtId="0" fontId="0" fillId="0" borderId="0" xfId="0" applyAlignment="1">
      <alignment horizontal="center"/>
    </xf>
    <xf numFmtId="0" fontId="24" fillId="0" borderId="0" xfId="0" applyFont="1" applyFill="1" applyBorder="1" applyAlignment="1">
      <alignment horizontal="left" vertical="center" wrapText="1"/>
    </xf>
    <xf numFmtId="49" fontId="54" fillId="0" borderId="0" xfId="0" applyNumberFormat="1" applyFont="1" applyAlignment="1">
      <alignment horizontal="right"/>
    </xf>
    <xf numFmtId="0" fontId="41" fillId="0" borderId="0" xfId="0" applyFont="1" applyFill="1" applyAlignment="1">
      <alignment horizontal="center" vertical="top" wrapText="1"/>
    </xf>
    <xf numFmtId="168" fontId="68" fillId="0" borderId="0" xfId="0" applyNumberFormat="1" applyFont="1"/>
    <xf numFmtId="3" fontId="11" fillId="8" borderId="59" xfId="0" applyNumberFormat="1" applyFont="1" applyFill="1" applyBorder="1" applyAlignment="1">
      <alignment vertical="center"/>
    </xf>
    <xf numFmtId="3" fontId="11" fillId="8" borderId="61" xfId="0" applyNumberFormat="1" applyFont="1" applyFill="1" applyBorder="1" applyAlignment="1">
      <alignment vertical="center"/>
    </xf>
    <xf numFmtId="3" fontId="39" fillId="8" borderId="80" xfId="0" applyNumberFormat="1" applyFont="1" applyFill="1" applyBorder="1" applyAlignment="1">
      <alignment horizontal="center" vertical="center"/>
    </xf>
    <xf numFmtId="164" fontId="16" fillId="0" borderId="0" xfId="1" applyNumberFormat="1" applyFont="1" applyFill="1" applyBorder="1" applyAlignment="1">
      <alignment vertical="center"/>
    </xf>
    <xf numFmtId="43" fontId="16" fillId="0" borderId="0" xfId="1" applyFont="1" applyFill="1" applyBorder="1" applyAlignment="1">
      <alignment vertical="center"/>
    </xf>
    <xf numFmtId="0" fontId="58" fillId="0" borderId="18" xfId="0" applyFont="1" applyFill="1" applyBorder="1" applyAlignment="1">
      <alignment horizontal="center" vertical="center"/>
    </xf>
    <xf numFmtId="49" fontId="58" fillId="0" borderId="18" xfId="0" applyNumberFormat="1" applyFont="1" applyFill="1" applyBorder="1" applyAlignment="1">
      <alignment horizontal="center" vertical="center"/>
    </xf>
    <xf numFmtId="3" fontId="60" fillId="0" borderId="18" xfId="5" applyNumberFormat="1" applyFont="1" applyFill="1" applyBorder="1" applyAlignment="1">
      <alignment vertical="center"/>
    </xf>
    <xf numFmtId="3" fontId="58" fillId="0" borderId="18" xfId="5" applyNumberFormat="1" applyFont="1" applyFill="1" applyBorder="1" applyAlignment="1">
      <alignment vertical="center"/>
    </xf>
    <xf numFmtId="40" fontId="58" fillId="0" borderId="18" xfId="5" applyNumberFormat="1" applyFont="1" applyFill="1" applyBorder="1" applyAlignment="1">
      <alignment vertical="center"/>
    </xf>
    <xf numFmtId="10" fontId="58" fillId="0" borderId="18" xfId="6" applyNumberFormat="1" applyFont="1" applyFill="1" applyBorder="1" applyAlignment="1">
      <alignment horizontal="center" vertical="center"/>
    </xf>
    <xf numFmtId="2" fontId="58" fillId="0" borderId="18" xfId="6" applyNumberFormat="1" applyFont="1" applyFill="1" applyBorder="1" applyAlignment="1">
      <alignment horizontal="center" vertical="center"/>
    </xf>
    <xf numFmtId="3" fontId="58" fillId="0" borderId="18" xfId="6" applyNumberFormat="1" applyFont="1" applyFill="1" applyBorder="1" applyAlignment="1">
      <alignment horizontal="center" vertical="center"/>
    </xf>
    <xf numFmtId="0" fontId="58" fillId="0" borderId="18" xfId="4" applyFont="1" applyFill="1" applyBorder="1" applyAlignment="1">
      <alignment horizontal="center" vertical="center" wrapText="1"/>
    </xf>
    <xf numFmtId="0" fontId="58" fillId="0" borderId="19" xfId="4" applyFont="1" applyFill="1" applyBorder="1" applyAlignment="1">
      <alignment horizontal="center" vertical="center" wrapText="1"/>
    </xf>
    <xf numFmtId="0" fontId="58" fillId="0" borderId="20" xfId="0" applyFont="1" applyFill="1" applyBorder="1" applyAlignment="1">
      <alignment horizontal="center" vertical="center" wrapText="1"/>
    </xf>
    <xf numFmtId="0" fontId="58" fillId="0" borderId="21" xfId="0" applyFont="1" applyFill="1" applyBorder="1" applyAlignment="1">
      <alignment horizontal="center" vertical="center"/>
    </xf>
    <xf numFmtId="49" fontId="58" fillId="0" borderId="21" xfId="0" applyNumberFormat="1" applyFont="1" applyFill="1" applyBorder="1" applyAlignment="1">
      <alignment horizontal="center" vertical="center"/>
    </xf>
    <xf numFmtId="0" fontId="58" fillId="0" borderId="21" xfId="0" applyFont="1" applyFill="1" applyBorder="1" applyAlignment="1">
      <alignment horizontal="justify" vertical="center"/>
    </xf>
    <xf numFmtId="40" fontId="58" fillId="0" borderId="21" xfId="5" applyNumberFormat="1" applyFont="1" applyFill="1" applyBorder="1" applyAlignment="1">
      <alignment vertical="center"/>
    </xf>
    <xf numFmtId="4" fontId="58" fillId="0" borderId="21" xfId="5" applyNumberFormat="1" applyFont="1" applyFill="1" applyBorder="1" applyAlignment="1">
      <alignment horizontal="center" vertical="center"/>
    </xf>
    <xf numFmtId="10" fontId="58" fillId="0" borderId="21" xfId="6" applyNumberFormat="1" applyFont="1" applyFill="1" applyBorder="1" applyAlignment="1">
      <alignment horizontal="center" vertical="center"/>
    </xf>
    <xf numFmtId="3" fontId="58" fillId="0" borderId="21" xfId="6" applyNumberFormat="1" applyFont="1" applyFill="1" applyBorder="1" applyAlignment="1">
      <alignment horizontal="center" vertical="center"/>
    </xf>
    <xf numFmtId="0" fontId="58" fillId="0" borderId="21" xfId="4" applyFont="1" applyFill="1" applyBorder="1" applyAlignment="1">
      <alignment horizontal="center" vertical="center" wrapText="1"/>
    </xf>
    <xf numFmtId="0" fontId="58" fillId="0" borderId="22" xfId="4" applyFont="1" applyFill="1" applyBorder="1" applyAlignment="1">
      <alignment horizontal="center" vertical="center" wrapText="1"/>
    </xf>
    <xf numFmtId="0" fontId="58" fillId="0" borderId="21" xfId="0" applyFont="1" applyFill="1" applyBorder="1" applyAlignment="1">
      <alignment horizontal="justify" vertical="center" wrapText="1"/>
    </xf>
    <xf numFmtId="15" fontId="58" fillId="0" borderId="50" xfId="0" applyNumberFormat="1" applyFont="1" applyFill="1" applyBorder="1" applyAlignment="1">
      <alignment horizontal="center" vertical="center"/>
    </xf>
    <xf numFmtId="0" fontId="58" fillId="0" borderId="50" xfId="0" applyFont="1" applyFill="1" applyBorder="1" applyAlignment="1">
      <alignment horizontal="center" vertical="center"/>
    </xf>
    <xf numFmtId="4" fontId="58" fillId="0" borderId="50" xfId="5" applyNumberFormat="1" applyFont="1" applyFill="1" applyBorder="1" applyAlignment="1">
      <alignment horizontal="center" vertical="center"/>
    </xf>
    <xf numFmtId="3" fontId="58" fillId="0" borderId="50" xfId="6" applyNumberFormat="1" applyFont="1" applyFill="1" applyBorder="1" applyAlignment="1">
      <alignment horizontal="center" vertical="center"/>
    </xf>
    <xf numFmtId="0" fontId="58" fillId="0" borderId="50" xfId="0" applyFont="1" applyFill="1" applyBorder="1" applyAlignment="1">
      <alignment horizontal="center" vertical="center" wrapText="1"/>
    </xf>
    <xf numFmtId="2" fontId="58" fillId="0" borderId="50" xfId="6" applyNumberFormat="1" applyFont="1" applyFill="1" applyBorder="1" applyAlignment="1">
      <alignment horizontal="center" vertical="center"/>
    </xf>
    <xf numFmtId="10" fontId="58" fillId="0" borderId="50" xfId="6" applyNumberFormat="1" applyFont="1" applyFill="1" applyBorder="1" applyAlignment="1">
      <alignment horizontal="center" vertical="center"/>
    </xf>
    <xf numFmtId="0" fontId="62" fillId="0" borderId="0" xfId="4" applyFont="1" applyFill="1" applyAlignment="1">
      <alignment vertical="center"/>
    </xf>
    <xf numFmtId="3" fontId="62" fillId="0" borderId="0" xfId="4" applyNumberFormat="1" applyFont="1" applyAlignment="1">
      <alignment vertical="center"/>
    </xf>
    <xf numFmtId="40" fontId="62" fillId="0" borderId="0" xfId="4" applyNumberFormat="1" applyFont="1" applyAlignment="1">
      <alignment vertical="center"/>
    </xf>
    <xf numFmtId="4" fontId="62" fillId="0" borderId="0" xfId="4" applyNumberFormat="1" applyFont="1" applyAlignment="1">
      <alignment horizontal="center" vertical="center"/>
    </xf>
    <xf numFmtId="0" fontId="62" fillId="0" borderId="0" xfId="0" applyFont="1" applyAlignment="1">
      <alignment vertical="center"/>
    </xf>
    <xf numFmtId="0" fontId="67" fillId="7" borderId="58" xfId="4" applyFont="1" applyFill="1" applyBorder="1" applyAlignment="1">
      <alignment horizontal="center" vertical="center"/>
    </xf>
    <xf numFmtId="164" fontId="60" fillId="7" borderId="80" xfId="1" applyNumberFormat="1" applyFont="1" applyFill="1" applyBorder="1" applyAlignment="1">
      <alignment vertical="center"/>
    </xf>
    <xf numFmtId="164" fontId="60" fillId="7" borderId="15" xfId="1" applyNumberFormat="1" applyFont="1" applyFill="1" applyBorder="1" applyAlignment="1">
      <alignment vertical="center"/>
    </xf>
    <xf numFmtId="0" fontId="65" fillId="0" borderId="0" xfId="4" applyFont="1" applyAlignment="1">
      <alignment vertical="center"/>
    </xf>
    <xf numFmtId="0" fontId="65" fillId="0" borderId="0" xfId="4" applyFont="1" applyFill="1" applyAlignment="1">
      <alignment vertical="center"/>
    </xf>
    <xf numFmtId="0" fontId="83" fillId="7" borderId="14" xfId="4" applyFont="1" applyFill="1" applyBorder="1" applyAlignment="1">
      <alignment horizontal="center" vertical="center"/>
    </xf>
    <xf numFmtId="3" fontId="47" fillId="7" borderId="12" xfId="5" applyNumberFormat="1" applyFont="1" applyFill="1" applyBorder="1" applyAlignment="1">
      <alignment vertical="center"/>
    </xf>
    <xf numFmtId="3" fontId="47" fillId="7" borderId="16" xfId="5" applyNumberFormat="1" applyFont="1" applyFill="1" applyBorder="1" applyAlignment="1">
      <alignment vertical="center"/>
    </xf>
    <xf numFmtId="40" fontId="47" fillId="7" borderId="16" xfId="5" applyNumberFormat="1" applyFont="1" applyFill="1" applyBorder="1" applyAlignment="1">
      <alignment vertical="center"/>
    </xf>
    <xf numFmtId="0" fontId="65" fillId="0" borderId="0" xfId="4" applyFont="1" applyBorder="1" applyAlignment="1">
      <alignment horizontal="center"/>
    </xf>
    <xf numFmtId="0" fontId="65" fillId="0" borderId="0" xfId="4" applyFont="1"/>
    <xf numFmtId="0" fontId="65" fillId="0" borderId="0" xfId="0" applyFont="1"/>
    <xf numFmtId="2" fontId="65" fillId="0" borderId="0" xfId="6" applyNumberFormat="1" applyFont="1" applyFill="1" applyBorder="1" applyAlignment="1">
      <alignment vertical="center"/>
    </xf>
    <xf numFmtId="0" fontId="65" fillId="0" borderId="0" xfId="4" applyFont="1" applyAlignment="1">
      <alignment horizontal="center"/>
    </xf>
    <xf numFmtId="0" fontId="58" fillId="0" borderId="42" xfId="8" applyFont="1" applyFill="1" applyBorder="1" applyAlignment="1">
      <alignment horizontal="center" vertical="center" wrapText="1"/>
    </xf>
    <xf numFmtId="40" fontId="61" fillId="0" borderId="42" xfId="4" applyNumberFormat="1" applyFont="1" applyFill="1" applyBorder="1" applyAlignment="1">
      <alignment horizontal="center" vertical="center" wrapText="1"/>
    </xf>
    <xf numFmtId="3" fontId="61" fillId="0" borderId="42" xfId="4" applyNumberFormat="1" applyFont="1" applyFill="1" applyBorder="1" applyAlignment="1">
      <alignment horizontal="center" vertical="center" wrapText="1"/>
    </xf>
    <xf numFmtId="0" fontId="1" fillId="0" borderId="0" xfId="0" applyFont="1"/>
    <xf numFmtId="0" fontId="58" fillId="0" borderId="21" xfId="8" applyFont="1" applyFill="1" applyBorder="1" applyAlignment="1">
      <alignment horizontal="center" vertical="center" wrapText="1"/>
    </xf>
    <xf numFmtId="40" fontId="61" fillId="0" borderId="21" xfId="4" applyNumberFormat="1" applyFont="1" applyFill="1" applyBorder="1" applyAlignment="1">
      <alignment horizontal="center" vertical="center" wrapText="1"/>
    </xf>
    <xf numFmtId="3" fontId="61" fillId="0" borderId="21" xfId="4" applyNumberFormat="1" applyFont="1" applyFill="1" applyBorder="1" applyAlignment="1">
      <alignment horizontal="center" vertical="center" wrapText="1"/>
    </xf>
    <xf numFmtId="0" fontId="58" fillId="6" borderId="21" xfId="8" applyFont="1" applyFill="1" applyBorder="1" applyAlignment="1">
      <alignment horizontal="center" vertical="center" wrapText="1"/>
    </xf>
    <xf numFmtId="14" fontId="59" fillId="6" borderId="21" xfId="4" applyNumberFormat="1" applyFont="1" applyFill="1" applyBorder="1" applyAlignment="1">
      <alignment horizontal="center" vertical="center" wrapText="1"/>
    </xf>
    <xf numFmtId="0" fontId="59" fillId="6" borderId="21" xfId="4" applyFont="1" applyFill="1" applyBorder="1" applyAlignment="1">
      <alignment horizontal="center" vertical="center" wrapText="1"/>
    </xf>
    <xf numFmtId="3" fontId="58" fillId="6" borderId="21" xfId="5" applyNumberFormat="1" applyFont="1" applyFill="1" applyBorder="1" applyAlignment="1">
      <alignment vertical="center"/>
    </xf>
    <xf numFmtId="40" fontId="61" fillId="6" borderId="21" xfId="4" applyNumberFormat="1" applyFont="1" applyFill="1" applyBorder="1" applyAlignment="1">
      <alignment horizontal="center" vertical="center" wrapText="1"/>
    </xf>
    <xf numFmtId="3" fontId="61" fillId="6" borderId="21" xfId="4" applyNumberFormat="1" applyFont="1" applyFill="1" applyBorder="1" applyAlignment="1">
      <alignment horizontal="center" vertical="center" wrapText="1"/>
    </xf>
    <xf numFmtId="10" fontId="58" fillId="6" borderId="21" xfId="6" applyNumberFormat="1" applyFont="1" applyFill="1" applyBorder="1" applyAlignment="1">
      <alignment horizontal="center" vertical="center" wrapText="1"/>
    </xf>
    <xf numFmtId="2" fontId="58" fillId="6" borderId="21" xfId="6" applyNumberFormat="1" applyFont="1" applyFill="1" applyBorder="1" applyAlignment="1">
      <alignment horizontal="center" vertical="center"/>
    </xf>
    <xf numFmtId="0" fontId="58" fillId="6" borderId="21" xfId="4" applyFont="1" applyFill="1" applyBorder="1" applyAlignment="1">
      <alignment horizontal="center" vertical="center" wrapText="1"/>
    </xf>
    <xf numFmtId="3" fontId="58" fillId="6" borderId="37" xfId="5" applyNumberFormat="1" applyFont="1" applyFill="1" applyBorder="1" applyAlignment="1">
      <alignment vertical="center"/>
    </xf>
    <xf numFmtId="166" fontId="61" fillId="0" borderId="21" xfId="4" applyNumberFormat="1" applyFont="1" applyFill="1" applyBorder="1" applyAlignment="1">
      <alignment horizontal="center" vertical="center" wrapText="1"/>
    </xf>
    <xf numFmtId="10" fontId="58" fillId="0" borderId="37" xfId="10" applyNumberFormat="1" applyFont="1" applyFill="1" applyBorder="1" applyAlignment="1">
      <alignment horizontal="center" vertical="center"/>
    </xf>
    <xf numFmtId="0" fontId="69" fillId="0" borderId="0" xfId="0" applyFont="1" applyAlignment="1">
      <alignment horizontal="center"/>
    </xf>
    <xf numFmtId="43" fontId="17" fillId="0" borderId="0" xfId="10" applyNumberFormat="1" applyFont="1" applyFill="1" applyBorder="1" applyAlignment="1">
      <alignment horizontal="center" vertical="center"/>
    </xf>
    <xf numFmtId="49" fontId="58" fillId="6" borderId="0" xfId="0" applyNumberFormat="1" applyFont="1" applyFill="1" applyBorder="1" applyAlignment="1">
      <alignment horizontal="center" vertical="center"/>
    </xf>
    <xf numFmtId="49" fontId="58" fillId="6" borderId="21" xfId="0" applyNumberFormat="1" applyFont="1" applyFill="1" applyBorder="1" applyAlignment="1">
      <alignment horizontal="center" vertical="center"/>
    </xf>
    <xf numFmtId="0" fontId="58" fillId="6" borderId="21" xfId="0" applyFont="1" applyFill="1" applyBorder="1" applyAlignment="1">
      <alignment horizontal="justify" vertical="center" wrapText="1"/>
    </xf>
    <xf numFmtId="0" fontId="14" fillId="0" borderId="0" xfId="0" applyFont="1" applyFill="1" applyBorder="1"/>
    <xf numFmtId="43" fontId="0" fillId="0" borderId="0" xfId="1" applyFont="1" applyAlignment="1">
      <alignment horizontal="center"/>
    </xf>
    <xf numFmtId="0" fontId="58" fillId="0" borderId="42" xfId="0" applyFont="1" applyFill="1" applyBorder="1" applyAlignment="1">
      <alignment horizontal="center" vertical="center"/>
    </xf>
    <xf numFmtId="3" fontId="58" fillId="0" borderId="21" xfId="5" applyNumberFormat="1" applyFont="1" applyFill="1" applyBorder="1" applyAlignment="1">
      <alignment horizontal="center" vertical="center" wrapText="1"/>
    </xf>
    <xf numFmtId="0" fontId="58" fillId="6" borderId="0" xfId="8" applyFont="1" applyFill="1" applyBorder="1" applyAlignment="1">
      <alignment horizontal="justify" vertical="center" wrapText="1"/>
    </xf>
    <xf numFmtId="3" fontId="60" fillId="6" borderId="0" xfId="5" applyNumberFormat="1" applyFont="1" applyFill="1" applyBorder="1" applyAlignment="1">
      <alignment vertical="center"/>
    </xf>
    <xf numFmtId="40" fontId="61" fillId="0" borderId="0" xfId="4" applyNumberFormat="1" applyFont="1" applyFill="1" applyBorder="1" applyAlignment="1">
      <alignment horizontal="center" vertical="center" wrapText="1"/>
    </xf>
    <xf numFmtId="3" fontId="61" fillId="0" borderId="0" xfId="4" applyNumberFormat="1" applyFont="1" applyFill="1" applyBorder="1" applyAlignment="1">
      <alignment horizontal="center" vertical="center" wrapText="1"/>
    </xf>
    <xf numFmtId="0" fontId="42" fillId="0" borderId="0" xfId="0" applyFont="1" applyFill="1" applyAlignment="1">
      <alignment horizontal="center" vertical="top" wrapText="1"/>
    </xf>
    <xf numFmtId="49" fontId="58" fillId="0" borderId="50" xfId="0" applyNumberFormat="1" applyFont="1" applyFill="1" applyBorder="1" applyAlignment="1">
      <alignment horizontal="center" vertical="center"/>
    </xf>
    <xf numFmtId="0" fontId="58" fillId="0" borderId="50" xfId="0" applyFont="1" applyFill="1" applyBorder="1" applyAlignment="1">
      <alignment horizontal="justify" vertical="center" wrapText="1"/>
    </xf>
    <xf numFmtId="3" fontId="58" fillId="0" borderId="50" xfId="5" applyNumberFormat="1" applyFont="1" applyFill="1" applyBorder="1" applyAlignment="1">
      <alignment vertical="center"/>
    </xf>
    <xf numFmtId="9" fontId="58" fillId="0" borderId="18" xfId="6" applyNumberFormat="1" applyFont="1" applyFill="1" applyBorder="1" applyAlignment="1">
      <alignment horizontal="center" vertical="center"/>
    </xf>
    <xf numFmtId="9" fontId="58" fillId="0" borderId="21" xfId="6" applyNumberFormat="1" applyFont="1" applyFill="1" applyBorder="1" applyAlignment="1">
      <alignment horizontal="center" vertical="center"/>
    </xf>
    <xf numFmtId="9" fontId="58" fillId="0" borderId="50" xfId="6" applyNumberFormat="1" applyFont="1" applyFill="1" applyBorder="1" applyAlignment="1">
      <alignment horizontal="center" vertical="center"/>
    </xf>
    <xf numFmtId="10" fontId="58" fillId="0" borderId="37" xfId="6" applyNumberFormat="1" applyFont="1" applyFill="1" applyBorder="1" applyAlignment="1">
      <alignment horizontal="center" vertical="center"/>
    </xf>
    <xf numFmtId="9" fontId="58" fillId="0" borderId="37" xfId="6" applyNumberFormat="1" applyFont="1" applyFill="1" applyBorder="1" applyAlignment="1">
      <alignment horizontal="center" vertical="center"/>
    </xf>
    <xf numFmtId="9" fontId="58" fillId="0" borderId="42" xfId="10" applyNumberFormat="1" applyFont="1" applyFill="1" applyBorder="1" applyAlignment="1">
      <alignment horizontal="center" vertical="center"/>
    </xf>
    <xf numFmtId="9" fontId="58" fillId="0" borderId="46" xfId="10" applyNumberFormat="1" applyFont="1" applyFill="1" applyBorder="1" applyAlignment="1">
      <alignment horizontal="center" vertical="center"/>
    </xf>
    <xf numFmtId="9" fontId="72" fillId="0" borderId="21" xfId="6" applyNumberFormat="1" applyFont="1" applyFill="1" applyBorder="1" applyAlignment="1">
      <alignment horizontal="center" vertical="center"/>
    </xf>
    <xf numFmtId="9" fontId="72" fillId="6" borderId="21" xfId="6" applyNumberFormat="1" applyFont="1" applyFill="1" applyBorder="1" applyAlignment="1">
      <alignment horizontal="center" vertical="center"/>
    </xf>
    <xf numFmtId="9" fontId="58" fillId="0" borderId="21" xfId="10" applyNumberFormat="1" applyFont="1" applyFill="1" applyBorder="1" applyAlignment="1">
      <alignment horizontal="center" vertical="center"/>
    </xf>
    <xf numFmtId="9" fontId="58" fillId="0" borderId="42" xfId="6" applyNumberFormat="1" applyFont="1" applyFill="1" applyBorder="1" applyAlignment="1">
      <alignment horizontal="center" vertical="center"/>
    </xf>
    <xf numFmtId="9" fontId="58" fillId="6" borderId="42" xfId="6" applyNumberFormat="1" applyFont="1" applyFill="1" applyBorder="1" applyAlignment="1">
      <alignment horizontal="center" vertical="center"/>
    </xf>
    <xf numFmtId="9" fontId="58" fillId="6" borderId="21" xfId="6" applyNumberFormat="1" applyFont="1" applyFill="1" applyBorder="1" applyAlignment="1">
      <alignment horizontal="center" vertical="center"/>
    </xf>
    <xf numFmtId="3" fontId="58" fillId="0" borderId="37" xfId="5" applyNumberFormat="1" applyFont="1" applyFill="1" applyBorder="1" applyAlignment="1">
      <alignment vertical="center"/>
    </xf>
    <xf numFmtId="3" fontId="46" fillId="0" borderId="0" xfId="0" applyNumberFormat="1" applyFont="1" applyFill="1" applyAlignment="1">
      <alignment horizontal="center"/>
    </xf>
    <xf numFmtId="164" fontId="74" fillId="0" borderId="105" xfId="1" applyNumberFormat="1" applyFont="1" applyFill="1" applyBorder="1" applyAlignment="1">
      <alignment vertical="center"/>
    </xf>
    <xf numFmtId="164" fontId="74" fillId="0" borderId="87" xfId="1" applyNumberFormat="1" applyFont="1" applyFill="1" applyBorder="1" applyAlignment="1">
      <alignment vertical="center"/>
    </xf>
    <xf numFmtId="164" fontId="75" fillId="0" borderId="87" xfId="1" applyNumberFormat="1" applyFont="1" applyFill="1" applyBorder="1" applyAlignment="1">
      <alignment vertical="center"/>
    </xf>
    <xf numFmtId="164" fontId="75" fillId="0" borderId="21" xfId="1" applyNumberFormat="1" applyFont="1" applyFill="1" applyBorder="1" applyAlignment="1">
      <alignment vertical="center"/>
    </xf>
    <xf numFmtId="3" fontId="74" fillId="0" borderId="72" xfId="1" applyNumberFormat="1" applyFont="1" applyFill="1" applyBorder="1" applyAlignment="1">
      <alignment vertical="center"/>
    </xf>
    <xf numFmtId="3" fontId="74" fillId="0" borderId="97" xfId="1" applyNumberFormat="1" applyFont="1" applyFill="1" applyBorder="1" applyAlignment="1">
      <alignment vertical="center"/>
    </xf>
    <xf numFmtId="164" fontId="75" fillId="0" borderId="66" xfId="1" applyNumberFormat="1" applyFont="1" applyFill="1" applyBorder="1" applyAlignment="1">
      <alignment vertical="center"/>
    </xf>
    <xf numFmtId="3" fontId="74" fillId="0" borderId="44" xfId="1" applyNumberFormat="1" applyFont="1" applyFill="1" applyBorder="1" applyAlignment="1">
      <alignment vertical="center"/>
    </xf>
    <xf numFmtId="0" fontId="58" fillId="15" borderId="21" xfId="0" applyFont="1" applyFill="1" applyBorder="1" applyAlignment="1">
      <alignment horizontal="center" vertical="center"/>
    </xf>
    <xf numFmtId="0" fontId="0" fillId="15" borderId="0" xfId="0" applyFont="1" applyFill="1"/>
    <xf numFmtId="0" fontId="0" fillId="0" borderId="0" xfId="0" applyFill="1" applyAlignment="1">
      <alignment horizontal="center"/>
    </xf>
    <xf numFmtId="0" fontId="42" fillId="0" borderId="0" xfId="0" applyFont="1" applyFill="1" applyAlignment="1">
      <alignment vertical="center" wrapText="1"/>
    </xf>
    <xf numFmtId="165" fontId="28" fillId="0" borderId="0" xfId="0" applyNumberFormat="1" applyFont="1" applyBorder="1"/>
    <xf numFmtId="0" fontId="35" fillId="0" borderId="0" xfId="0" applyFont="1" applyFill="1" applyAlignment="1">
      <alignment horizontal="center" vertical="center" wrapText="1"/>
    </xf>
    <xf numFmtId="43" fontId="17" fillId="0" borderId="0" xfId="1" applyFont="1" applyFill="1" applyBorder="1" applyAlignment="1">
      <alignment vertical="center"/>
    </xf>
    <xf numFmtId="0" fontId="0" fillId="0" borderId="0" xfId="0" applyAlignment="1">
      <alignment horizontal="center"/>
    </xf>
    <xf numFmtId="0" fontId="41" fillId="3" borderId="0" xfId="0" applyFont="1" applyFill="1" applyAlignment="1">
      <alignment horizontal="center" vertical="center" wrapText="1"/>
    </xf>
    <xf numFmtId="0" fontId="2" fillId="2" borderId="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 xfId="0" applyFont="1" applyFill="1" applyBorder="1" applyAlignment="1">
      <alignment horizontal="center" vertical="center"/>
    </xf>
    <xf numFmtId="0" fontId="76" fillId="5" borderId="5" xfId="0" applyFont="1" applyFill="1" applyBorder="1" applyAlignment="1">
      <alignment horizontal="center" vertical="center"/>
    </xf>
    <xf numFmtId="0" fontId="76" fillId="5" borderId="51" xfId="0" applyFont="1" applyFill="1" applyBorder="1" applyAlignment="1">
      <alignment horizontal="center" vertical="center"/>
    </xf>
    <xf numFmtId="0" fontId="76" fillId="5" borderId="6" xfId="0" applyFont="1" applyFill="1" applyBorder="1" applyAlignment="1">
      <alignment horizontal="center" vertical="center"/>
    </xf>
    <xf numFmtId="43" fontId="76" fillId="11" borderId="4" xfId="1" applyFont="1" applyFill="1" applyBorder="1" applyAlignment="1">
      <alignment horizontal="center" vertical="center" wrapText="1"/>
    </xf>
    <xf numFmtId="43" fontId="76" fillId="10" borderId="1" xfId="1" applyFont="1" applyFill="1" applyBorder="1" applyAlignment="1">
      <alignment horizontal="center" vertical="center"/>
    </xf>
    <xf numFmtId="43" fontId="76" fillId="10" borderId="2" xfId="1" applyFont="1" applyFill="1" applyBorder="1" applyAlignment="1">
      <alignment horizontal="center" vertical="center"/>
    </xf>
    <xf numFmtId="43" fontId="76" fillId="10" borderId="3" xfId="1" applyFont="1" applyFill="1" applyBorder="1" applyAlignment="1">
      <alignment horizontal="center" vertical="center"/>
    </xf>
    <xf numFmtId="0" fontId="76" fillId="9" borderId="52" xfId="0" applyFont="1" applyFill="1" applyBorder="1" applyAlignment="1">
      <alignment horizontal="center" vertical="center"/>
    </xf>
    <xf numFmtId="0" fontId="76" fillId="9" borderId="53" xfId="0" applyFont="1" applyFill="1" applyBorder="1" applyAlignment="1">
      <alignment horizontal="center" vertical="center"/>
    </xf>
    <xf numFmtId="0" fontId="76" fillId="9" borderId="54" xfId="0" applyFont="1" applyFill="1" applyBorder="1" applyAlignment="1">
      <alignment horizontal="center" vertical="center"/>
    </xf>
    <xf numFmtId="0" fontId="76" fillId="9" borderId="55" xfId="0" applyFont="1" applyFill="1" applyBorder="1" applyAlignment="1">
      <alignment horizontal="center" vertical="center"/>
    </xf>
    <xf numFmtId="43" fontId="76" fillId="10" borderId="5" xfId="1" applyFont="1" applyFill="1" applyBorder="1" applyAlignment="1">
      <alignment horizontal="center" vertical="center" wrapText="1"/>
    </xf>
    <xf numFmtId="43" fontId="76" fillId="10" borderId="6" xfId="1" applyFont="1" applyFill="1" applyBorder="1" applyAlignment="1">
      <alignment horizontal="center" vertical="center" wrapText="1"/>
    </xf>
    <xf numFmtId="43" fontId="76" fillId="11" borderId="1" xfId="1" applyFont="1" applyFill="1" applyBorder="1" applyAlignment="1">
      <alignment horizontal="center" vertical="center"/>
    </xf>
    <xf numFmtId="43" fontId="76" fillId="11" borderId="2" xfId="1" applyFont="1" applyFill="1" applyBorder="1" applyAlignment="1">
      <alignment horizontal="center" vertical="center"/>
    </xf>
    <xf numFmtId="43" fontId="76" fillId="11" borderId="3" xfId="1" applyFont="1" applyFill="1" applyBorder="1" applyAlignment="1">
      <alignment horizontal="center" vertical="center"/>
    </xf>
    <xf numFmtId="0" fontId="70" fillId="0" borderId="0" xfId="0" applyFont="1" applyFill="1" applyAlignment="1">
      <alignment horizontal="center" wrapText="1"/>
    </xf>
    <xf numFmtId="43" fontId="45" fillId="0" borderId="0" xfId="1" applyFont="1" applyAlignment="1">
      <alignment horizontal="center" wrapText="1"/>
    </xf>
    <xf numFmtId="0" fontId="45" fillId="0" borderId="0" xfId="0" applyFont="1" applyAlignment="1">
      <alignment horizontal="center"/>
    </xf>
    <xf numFmtId="43" fontId="29" fillId="0" borderId="0" xfId="1" applyFont="1" applyAlignment="1">
      <alignment horizontal="center"/>
    </xf>
    <xf numFmtId="43" fontId="45" fillId="0" borderId="0" xfId="1" applyFont="1" applyAlignment="1">
      <alignment horizontal="center"/>
    </xf>
    <xf numFmtId="43" fontId="76" fillId="13" borderId="5" xfId="1" applyFont="1" applyFill="1" applyBorder="1" applyAlignment="1">
      <alignment horizontal="center" vertical="center"/>
    </xf>
    <xf numFmtId="43" fontId="76" fillId="13" borderId="51" xfId="1" applyFont="1" applyFill="1" applyBorder="1" applyAlignment="1">
      <alignment horizontal="center" vertical="center"/>
    </xf>
    <xf numFmtId="43" fontId="76" fillId="13" borderId="6" xfId="1" applyFont="1" applyFill="1" applyBorder="1" applyAlignment="1">
      <alignment horizontal="center" vertical="center"/>
    </xf>
    <xf numFmtId="0" fontId="78" fillId="4" borderId="5" xfId="0" applyFont="1" applyFill="1" applyBorder="1" applyAlignment="1">
      <alignment horizontal="center" vertical="center"/>
    </xf>
    <xf numFmtId="0" fontId="78" fillId="4" borderId="51" xfId="0" applyFont="1" applyFill="1" applyBorder="1" applyAlignment="1">
      <alignment horizontal="center" vertical="center"/>
    </xf>
    <xf numFmtId="0" fontId="78" fillId="4" borderId="6" xfId="0" applyFont="1" applyFill="1" applyBorder="1" applyAlignment="1">
      <alignment horizontal="center" vertical="center"/>
    </xf>
    <xf numFmtId="43" fontId="77" fillId="12" borderId="5" xfId="1" applyFont="1" applyFill="1" applyBorder="1" applyAlignment="1">
      <alignment horizontal="center" vertical="center" wrapText="1"/>
    </xf>
    <xf numFmtId="43" fontId="77" fillId="12" borderId="51" xfId="1" applyFont="1" applyFill="1" applyBorder="1" applyAlignment="1">
      <alignment horizontal="center" vertical="center" wrapText="1"/>
    </xf>
    <xf numFmtId="43" fontId="77" fillId="12" borderId="6" xfId="1" applyFont="1" applyFill="1" applyBorder="1" applyAlignment="1">
      <alignment horizontal="center" vertical="center" wrapText="1"/>
    </xf>
    <xf numFmtId="43" fontId="76" fillId="10" borderId="1" xfId="1" applyFont="1" applyFill="1" applyBorder="1" applyAlignment="1">
      <alignment horizontal="center" vertical="top"/>
    </xf>
    <xf numFmtId="43" fontId="76" fillId="10" borderId="2" xfId="1" applyFont="1" applyFill="1" applyBorder="1" applyAlignment="1">
      <alignment horizontal="center" vertical="top"/>
    </xf>
    <xf numFmtId="43" fontId="76" fillId="10" borderId="3" xfId="1" applyFont="1" applyFill="1" applyBorder="1" applyAlignment="1">
      <alignment horizontal="center" vertical="top"/>
    </xf>
    <xf numFmtId="43" fontId="76" fillId="5" borderId="1" xfId="1" applyFont="1" applyFill="1" applyBorder="1" applyAlignment="1">
      <alignment horizontal="center" vertical="center" wrapText="1"/>
    </xf>
    <xf numFmtId="43" fontId="76" fillId="5" borderId="2" xfId="1" applyFont="1" applyFill="1" applyBorder="1" applyAlignment="1">
      <alignment horizontal="center" vertical="center" wrapText="1"/>
    </xf>
    <xf numFmtId="43" fontId="76" fillId="5" borderId="3" xfId="1" applyFont="1" applyFill="1" applyBorder="1" applyAlignment="1">
      <alignment horizontal="center" vertical="center" wrapText="1"/>
    </xf>
    <xf numFmtId="0" fontId="70" fillId="0" borderId="86" xfId="0" applyFont="1" applyFill="1" applyBorder="1" applyAlignment="1">
      <alignment horizontal="center"/>
    </xf>
    <xf numFmtId="43" fontId="79" fillId="5" borderId="5" xfId="1" applyFont="1" applyFill="1" applyBorder="1" applyAlignment="1">
      <alignment horizontal="center" vertical="center" wrapText="1"/>
    </xf>
    <xf numFmtId="43" fontId="79" fillId="5" borderId="6" xfId="1" applyFont="1" applyFill="1" applyBorder="1" applyAlignment="1">
      <alignment horizontal="center" vertical="center" wrapText="1"/>
    </xf>
    <xf numFmtId="0" fontId="46" fillId="0" borderId="65" xfId="0" applyFont="1" applyFill="1" applyBorder="1" applyAlignment="1">
      <alignment horizontal="center"/>
    </xf>
    <xf numFmtId="0" fontId="46" fillId="0" borderId="66" xfId="0" applyFont="1" applyFill="1" applyBorder="1" applyAlignment="1">
      <alignment horizontal="center"/>
    </xf>
    <xf numFmtId="3" fontId="11" fillId="14" borderId="9" xfId="4" applyNumberFormat="1" applyFont="1" applyFill="1" applyBorder="1" applyAlignment="1">
      <alignment horizontal="center" vertical="center"/>
    </xf>
    <xf numFmtId="3" fontId="11" fillId="14" borderId="10" xfId="4" applyNumberFormat="1" applyFont="1" applyFill="1" applyBorder="1" applyAlignment="1">
      <alignment horizontal="center" vertical="center"/>
    </xf>
    <xf numFmtId="3" fontId="11" fillId="14" borderId="11" xfId="4" applyNumberFormat="1" applyFont="1" applyFill="1" applyBorder="1" applyAlignment="1">
      <alignment horizontal="center" vertical="center"/>
    </xf>
    <xf numFmtId="40" fontId="11" fillId="14" borderId="12" xfId="4" applyNumberFormat="1" applyFont="1" applyFill="1" applyBorder="1" applyAlignment="1">
      <alignment horizontal="center" vertical="center"/>
    </xf>
    <xf numFmtId="0" fontId="12" fillId="7" borderId="11"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46" fillId="0" borderId="20" xfId="0" applyFont="1" applyBorder="1" applyAlignment="1">
      <alignment horizontal="center"/>
    </xf>
    <xf numFmtId="0" fontId="46" fillId="0" borderId="21" xfId="0" applyFont="1" applyBorder="1" applyAlignment="1">
      <alignment horizontal="center"/>
    </xf>
    <xf numFmtId="0" fontId="0" fillId="0" borderId="0" xfId="0" applyAlignment="1">
      <alignment horizontal="center"/>
    </xf>
    <xf numFmtId="0" fontId="46" fillId="0" borderId="41" xfId="0" applyFont="1" applyBorder="1" applyAlignment="1">
      <alignment horizontal="center"/>
    </xf>
    <xf numFmtId="0" fontId="46" fillId="0" borderId="42" xfId="0" applyFont="1" applyBorder="1" applyAlignment="1">
      <alignment horizontal="center"/>
    </xf>
    <xf numFmtId="0" fontId="25" fillId="0" borderId="0" xfId="0" applyFont="1" applyFill="1" applyBorder="1" applyAlignment="1">
      <alignment horizontal="left" vertical="center" wrapText="1"/>
    </xf>
    <xf numFmtId="0" fontId="46" fillId="0" borderId="65" xfId="0" applyFont="1" applyBorder="1" applyAlignment="1">
      <alignment horizontal="center"/>
    </xf>
    <xf numFmtId="0" fontId="46" fillId="0" borderId="66" xfId="0" applyFont="1" applyBorder="1" applyAlignment="1">
      <alignment horizontal="center"/>
    </xf>
    <xf numFmtId="0" fontId="5" fillId="3" borderId="0" xfId="0" applyFont="1" applyFill="1" applyAlignment="1">
      <alignment horizontal="center" vertical="top"/>
    </xf>
    <xf numFmtId="0" fontId="26" fillId="3" borderId="0" xfId="0" applyFont="1" applyFill="1" applyAlignment="1">
      <alignment horizontal="center" vertical="top" wrapText="1"/>
    </xf>
    <xf numFmtId="0" fontId="12" fillId="7" borderId="34" xfId="8" applyFont="1" applyFill="1" applyBorder="1" applyAlignment="1">
      <alignment horizontal="center" vertical="center" wrapText="1"/>
    </xf>
    <xf numFmtId="0" fontId="12" fillId="7" borderId="35" xfId="8" applyFont="1" applyFill="1" applyBorder="1" applyAlignment="1">
      <alignment horizontal="center" vertical="center" wrapText="1"/>
    </xf>
    <xf numFmtId="43" fontId="60" fillId="0" borderId="40" xfId="1" applyFont="1" applyFill="1" applyBorder="1" applyAlignment="1">
      <alignment horizontal="right" vertical="center"/>
    </xf>
    <xf numFmtId="0" fontId="56" fillId="7" borderId="34" xfId="8" applyFont="1" applyFill="1" applyBorder="1" applyAlignment="1">
      <alignment horizontal="center" vertical="center" wrapText="1"/>
    </xf>
    <xf numFmtId="0" fontId="56" fillId="7" borderId="35" xfId="8" applyFont="1" applyFill="1" applyBorder="1" applyAlignment="1">
      <alignment horizontal="center" vertical="center" wrapText="1"/>
    </xf>
    <xf numFmtId="43" fontId="16" fillId="0" borderId="40" xfId="1" applyFont="1" applyFill="1" applyBorder="1" applyAlignment="1">
      <alignment horizontal="right" vertical="center"/>
    </xf>
    <xf numFmtId="0" fontId="25" fillId="0" borderId="40" xfId="0" applyFont="1" applyFill="1" applyBorder="1" applyAlignment="1">
      <alignment horizontal="left" vertical="center" wrapText="1"/>
    </xf>
    <xf numFmtId="0" fontId="70" fillId="0" borderId="70" xfId="0" applyFont="1" applyBorder="1" applyAlignment="1">
      <alignment horizontal="center"/>
    </xf>
    <xf numFmtId="0" fontId="70" fillId="0" borderId="72" xfId="0" applyFont="1" applyBorder="1" applyAlignment="1">
      <alignment horizontal="center"/>
    </xf>
    <xf numFmtId="0" fontId="70" fillId="0" borderId="98" xfId="0" applyFont="1" applyBorder="1" applyAlignment="1">
      <alignment horizontal="center"/>
    </xf>
    <xf numFmtId="0" fontId="70" fillId="0" borderId="97" xfId="0" applyFont="1" applyBorder="1" applyAlignment="1">
      <alignment horizontal="center"/>
    </xf>
    <xf numFmtId="0" fontId="70" fillId="0" borderId="68" xfId="0" applyFont="1" applyBorder="1" applyAlignment="1">
      <alignment horizontal="center"/>
    </xf>
    <xf numFmtId="0" fontId="70" fillId="0" borderId="43" xfId="0" applyFont="1" applyBorder="1" applyAlignment="1">
      <alignment horizontal="center"/>
    </xf>
    <xf numFmtId="0" fontId="24" fillId="0" borderId="0" xfId="0" applyFont="1" applyFill="1" applyBorder="1" applyAlignment="1">
      <alignment horizontal="left" vertical="center" wrapText="1"/>
    </xf>
    <xf numFmtId="0" fontId="70" fillId="0" borderId="94" xfId="0" applyFont="1" applyBorder="1" applyAlignment="1">
      <alignment horizontal="center"/>
    </xf>
    <xf numFmtId="0" fontId="70" fillId="0" borderId="95" xfId="0" applyFont="1" applyBorder="1" applyAlignment="1">
      <alignment horizontal="center"/>
    </xf>
    <xf numFmtId="0" fontId="70" fillId="0" borderId="76" xfId="0" applyFont="1" applyBorder="1" applyAlignment="1">
      <alignment horizontal="center"/>
    </xf>
    <xf numFmtId="0" fontId="70" fillId="0" borderId="77" xfId="0" applyFont="1" applyBorder="1" applyAlignment="1">
      <alignment horizontal="center"/>
    </xf>
    <xf numFmtId="0" fontId="70" fillId="0" borderId="92" xfId="0" applyFont="1" applyBorder="1" applyAlignment="1">
      <alignment horizontal="center"/>
    </xf>
    <xf numFmtId="0" fontId="70" fillId="0" borderId="93" xfId="0" applyFont="1" applyBorder="1" applyAlignment="1">
      <alignment horizontal="center"/>
    </xf>
    <xf numFmtId="165" fontId="70" fillId="0" borderId="82" xfId="2" applyNumberFormat="1" applyFont="1" applyBorder="1" applyAlignment="1">
      <alignment horizontal="center"/>
    </xf>
    <xf numFmtId="165" fontId="70" fillId="0" borderId="63" xfId="2" applyNumberFormat="1" applyFont="1" applyBorder="1" applyAlignment="1">
      <alignment horizontal="center"/>
    </xf>
    <xf numFmtId="165" fontId="70" fillId="0" borderId="83" xfId="2" applyNumberFormat="1" applyFont="1" applyBorder="1" applyAlignment="1">
      <alignment horizontal="center"/>
    </xf>
    <xf numFmtId="165" fontId="70" fillId="0" borderId="96" xfId="2" applyNumberFormat="1" applyFont="1" applyBorder="1" applyAlignment="1">
      <alignment horizontal="center"/>
    </xf>
    <xf numFmtId="165" fontId="70" fillId="0" borderId="71" xfId="2" applyNumberFormat="1" applyFont="1" applyBorder="1" applyAlignment="1">
      <alignment horizontal="center"/>
    </xf>
    <xf numFmtId="165" fontId="70" fillId="0" borderId="87" xfId="2" applyNumberFormat="1" applyFont="1" applyBorder="1" applyAlignment="1">
      <alignment horizontal="center"/>
    </xf>
    <xf numFmtId="165" fontId="70" fillId="0" borderId="84" xfId="0" applyNumberFormat="1" applyFont="1" applyBorder="1" applyAlignment="1">
      <alignment horizontal="center"/>
    </xf>
    <xf numFmtId="165" fontId="70" fillId="0" borderId="78" xfId="0" applyNumberFormat="1" applyFont="1" applyBorder="1" applyAlignment="1">
      <alignment horizontal="center"/>
    </xf>
    <xf numFmtId="165" fontId="70" fillId="0" borderId="85" xfId="0" applyNumberFormat="1" applyFont="1" applyBorder="1" applyAlignment="1">
      <alignment horizontal="center"/>
    </xf>
    <xf numFmtId="0" fontId="70" fillId="0" borderId="20" xfId="0" applyFont="1" applyBorder="1" applyAlignment="1">
      <alignment horizontal="center"/>
    </xf>
    <xf numFmtId="0" fontId="70" fillId="0" borderId="73" xfId="0" applyFont="1" applyBorder="1" applyAlignment="1">
      <alignment horizontal="center"/>
    </xf>
    <xf numFmtId="0" fontId="70" fillId="0" borderId="65" xfId="0" applyFont="1" applyBorder="1" applyAlignment="1">
      <alignment horizontal="center"/>
    </xf>
    <xf numFmtId="0" fontId="70" fillId="0" borderId="89" xfId="0" applyFont="1" applyBorder="1" applyAlignment="1">
      <alignment horizontal="center"/>
    </xf>
    <xf numFmtId="0" fontId="70" fillId="0" borderId="41" xfId="0" applyFont="1" applyBorder="1" applyAlignment="1">
      <alignment horizontal="center"/>
    </xf>
    <xf numFmtId="0" fontId="70" fillId="0" borderId="88" xfId="0" applyFont="1" applyBorder="1" applyAlignment="1">
      <alignment horizontal="center"/>
    </xf>
    <xf numFmtId="0" fontId="8" fillId="3" borderId="0" xfId="0" applyFont="1" applyFill="1" applyAlignment="1">
      <alignment horizontal="center" vertical="center" wrapText="1"/>
    </xf>
    <xf numFmtId="0" fontId="64" fillId="7" borderId="79" xfId="0" applyFont="1" applyFill="1" applyBorder="1" applyAlignment="1">
      <alignment horizontal="center" vertical="center" wrapText="1"/>
    </xf>
    <xf numFmtId="0" fontId="64" fillId="7" borderId="59" xfId="0" applyFont="1" applyFill="1" applyBorder="1" applyAlignment="1">
      <alignment horizontal="center" vertical="center" wrapText="1"/>
    </xf>
    <xf numFmtId="0" fontId="28" fillId="0" borderId="41" xfId="0" applyFont="1" applyBorder="1" applyAlignment="1">
      <alignment horizontal="center"/>
    </xf>
    <xf numFmtId="0" fontId="28" fillId="0" borderId="42" xfId="0" applyFont="1" applyBorder="1" applyAlignment="1">
      <alignment horizontal="center"/>
    </xf>
    <xf numFmtId="0" fontId="28" fillId="0" borderId="20" xfId="0" applyFont="1" applyBorder="1" applyAlignment="1">
      <alignment horizontal="center"/>
    </xf>
    <xf numFmtId="0" fontId="28" fillId="0" borderId="21" xfId="0" applyFont="1" applyBorder="1" applyAlignment="1">
      <alignment horizontal="center"/>
    </xf>
    <xf numFmtId="0" fontId="42" fillId="3" borderId="0" xfId="0" applyFont="1" applyFill="1" applyAlignment="1">
      <alignment vertical="center" wrapText="1"/>
    </xf>
    <xf numFmtId="0" fontId="28" fillId="0" borderId="65" xfId="0" applyFont="1" applyBorder="1" applyAlignment="1">
      <alignment horizontal="center"/>
    </xf>
    <xf numFmtId="0" fontId="28" fillId="0" borderId="66" xfId="0" applyFont="1" applyBorder="1" applyAlignment="1">
      <alignment horizontal="center"/>
    </xf>
    <xf numFmtId="0" fontId="26" fillId="3" borderId="0" xfId="0" applyFont="1" applyFill="1" applyAlignment="1">
      <alignment horizontal="center" vertical="center" wrapText="1"/>
    </xf>
    <xf numFmtId="0" fontId="28" fillId="0" borderId="74" xfId="0" applyFont="1" applyBorder="1" applyAlignment="1">
      <alignment horizontal="center"/>
    </xf>
    <xf numFmtId="0" fontId="28" fillId="0" borderId="75" xfId="0" applyFont="1" applyBorder="1" applyAlignment="1">
      <alignment horizontal="center"/>
    </xf>
    <xf numFmtId="43" fontId="16" fillId="0" borderId="0" xfId="1" applyFont="1" applyFill="1" applyBorder="1" applyAlignment="1">
      <alignment horizontal="right" vertical="center"/>
    </xf>
    <xf numFmtId="0" fontId="70" fillId="0" borderId="42" xfId="0" applyFont="1" applyBorder="1" applyAlignment="1">
      <alignment horizontal="center"/>
    </xf>
    <xf numFmtId="3" fontId="11" fillId="8" borderId="56" xfId="4" applyNumberFormat="1" applyFont="1" applyFill="1" applyBorder="1" applyAlignment="1">
      <alignment horizontal="center" vertical="center"/>
    </xf>
    <xf numFmtId="3" fontId="11" fillId="8" borderId="86" xfId="4" applyNumberFormat="1" applyFont="1" applyFill="1" applyBorder="1" applyAlignment="1">
      <alignment horizontal="center" vertical="center"/>
    </xf>
    <xf numFmtId="3" fontId="11" fillId="8" borderId="57" xfId="4" applyNumberFormat="1" applyFont="1" applyFill="1" applyBorder="1" applyAlignment="1">
      <alignment horizontal="center" vertical="center"/>
    </xf>
    <xf numFmtId="40" fontId="11" fillId="8" borderId="56" xfId="4" applyNumberFormat="1" applyFont="1" applyFill="1" applyBorder="1" applyAlignment="1">
      <alignment horizontal="center" vertical="center"/>
    </xf>
    <xf numFmtId="40" fontId="11" fillId="8" borderId="86" xfId="4" applyNumberFormat="1" applyFont="1" applyFill="1" applyBorder="1" applyAlignment="1">
      <alignment horizontal="center" vertical="center"/>
    </xf>
    <xf numFmtId="40" fontId="11" fillId="8" borderId="57" xfId="4" applyNumberFormat="1" applyFont="1" applyFill="1" applyBorder="1" applyAlignment="1">
      <alignment horizontal="center" vertical="center"/>
    </xf>
    <xf numFmtId="49" fontId="54" fillId="0" borderId="0" xfId="0" applyNumberFormat="1" applyFont="1" applyAlignment="1">
      <alignment horizontal="right"/>
    </xf>
    <xf numFmtId="0" fontId="70" fillId="0" borderId="21" xfId="0" applyFont="1" applyBorder="1" applyAlignment="1">
      <alignment horizontal="center"/>
    </xf>
    <xf numFmtId="0" fontId="70" fillId="0" borderId="66" xfId="0" applyFont="1" applyBorder="1" applyAlignment="1">
      <alignment horizontal="center"/>
    </xf>
    <xf numFmtId="0" fontId="22" fillId="0" borderId="40" xfId="0" applyFont="1" applyFill="1" applyBorder="1" applyAlignment="1">
      <alignment horizontal="left" vertical="center" wrapText="1"/>
    </xf>
    <xf numFmtId="0" fontId="28" fillId="0" borderId="26" xfId="0" applyFont="1" applyBorder="1" applyAlignment="1">
      <alignment horizontal="center"/>
    </xf>
    <xf numFmtId="0" fontId="28" fillId="0" borderId="27" xfId="0" applyFont="1" applyBorder="1" applyAlignment="1">
      <alignment horizontal="center"/>
    </xf>
    <xf numFmtId="0" fontId="26" fillId="3" borderId="0" xfId="0" applyFont="1" applyFill="1" applyAlignment="1">
      <alignment horizontal="center" vertical="center"/>
    </xf>
    <xf numFmtId="0" fontId="28" fillId="0" borderId="23" xfId="0" applyFont="1" applyBorder="1" applyAlignment="1">
      <alignment horizontal="center"/>
    </xf>
    <xf numFmtId="0" fontId="28" fillId="0" borderId="24" xfId="0" applyFont="1" applyBorder="1" applyAlignment="1">
      <alignment horizontal="center"/>
    </xf>
    <xf numFmtId="0" fontId="28" fillId="0" borderId="25" xfId="0" applyFont="1" applyBorder="1" applyAlignment="1">
      <alignment horizontal="center"/>
    </xf>
    <xf numFmtId="0" fontId="28" fillId="0" borderId="4" xfId="0" applyFont="1" applyBorder="1" applyAlignment="1">
      <alignment horizontal="center"/>
    </xf>
    <xf numFmtId="0" fontId="28" fillId="0" borderId="101" xfId="0" applyFont="1" applyBorder="1" applyAlignment="1">
      <alignment horizontal="center"/>
    </xf>
    <xf numFmtId="0" fontId="28" fillId="0" borderId="3" xfId="0" applyFont="1" applyBorder="1" applyAlignment="1">
      <alignment horizontal="center"/>
    </xf>
    <xf numFmtId="3" fontId="11" fillId="8" borderId="102" xfId="0" applyNumberFormat="1" applyFont="1" applyFill="1" applyBorder="1" applyAlignment="1">
      <alignment horizontal="center" vertical="center"/>
    </xf>
    <xf numFmtId="3" fontId="11" fillId="8" borderId="59" xfId="0" applyNumberFormat="1" applyFont="1" applyFill="1" applyBorder="1" applyAlignment="1">
      <alignment horizontal="center" vertical="center"/>
    </xf>
    <xf numFmtId="0" fontId="11" fillId="8" borderId="103" xfId="0" applyFont="1" applyFill="1" applyBorder="1" applyAlignment="1">
      <alignment horizontal="center" vertical="center"/>
    </xf>
    <xf numFmtId="0" fontId="11" fillId="8" borderId="59" xfId="0" applyFont="1" applyFill="1" applyBorder="1" applyAlignment="1">
      <alignment horizontal="center" vertical="center"/>
    </xf>
    <xf numFmtId="44" fontId="84" fillId="0" borderId="73" xfId="2" applyFont="1" applyBorder="1" applyAlignment="1">
      <alignment horizontal="center"/>
    </xf>
    <xf numFmtId="44" fontId="84" fillId="0" borderId="87" xfId="2" applyFont="1" applyBorder="1" applyAlignment="1">
      <alignment horizontal="center"/>
    </xf>
    <xf numFmtId="44" fontId="84" fillId="0" borderId="89" xfId="2" applyFont="1" applyBorder="1" applyAlignment="1">
      <alignment horizontal="center"/>
    </xf>
    <xf numFmtId="44" fontId="84" fillId="0" borderId="91" xfId="2" applyFont="1" applyBorder="1" applyAlignment="1">
      <alignment horizontal="center"/>
    </xf>
    <xf numFmtId="0" fontId="12" fillId="7" borderId="34" xfId="0" applyFont="1" applyFill="1" applyBorder="1" applyAlignment="1">
      <alignment horizontal="center" vertical="center" wrapText="1"/>
    </xf>
    <xf numFmtId="0" fontId="12" fillId="7" borderId="35" xfId="0" applyFont="1" applyFill="1" applyBorder="1" applyAlignment="1">
      <alignment horizontal="center" vertical="center" wrapText="1"/>
    </xf>
    <xf numFmtId="3" fontId="11" fillId="8" borderId="9" xfId="4" applyNumberFormat="1" applyFont="1" applyFill="1" applyBorder="1" applyAlignment="1">
      <alignment horizontal="center" vertical="center"/>
    </xf>
    <xf numFmtId="3" fontId="11" fillId="8" borderId="10" xfId="4" applyNumberFormat="1" applyFont="1" applyFill="1" applyBorder="1" applyAlignment="1">
      <alignment horizontal="center" vertical="center"/>
    </xf>
    <xf numFmtId="3" fontId="11" fillId="8" borderId="15" xfId="4" applyNumberFormat="1" applyFont="1" applyFill="1" applyBorder="1" applyAlignment="1">
      <alignment horizontal="center" vertical="center"/>
    </xf>
    <xf numFmtId="3" fontId="11" fillId="8" borderId="11" xfId="4" applyNumberFormat="1" applyFont="1" applyFill="1" applyBorder="1" applyAlignment="1">
      <alignment horizontal="center" vertical="center"/>
    </xf>
    <xf numFmtId="40" fontId="11" fillId="8" borderId="12" xfId="4" applyNumberFormat="1" applyFont="1" applyFill="1" applyBorder="1" applyAlignment="1">
      <alignment horizontal="center" vertical="center"/>
    </xf>
    <xf numFmtId="0" fontId="84" fillId="0" borderId="68" xfId="0" applyFont="1" applyBorder="1" applyAlignment="1">
      <alignment horizontal="center"/>
    </xf>
    <xf numFmtId="0" fontId="84" fillId="0" borderId="43" xfId="0" applyFont="1" applyBorder="1" applyAlignment="1">
      <alignment horizontal="center"/>
    </xf>
    <xf numFmtId="0" fontId="84" fillId="0" borderId="70" xfId="0" applyFont="1" applyBorder="1" applyAlignment="1">
      <alignment horizontal="center"/>
    </xf>
    <xf numFmtId="0" fontId="84" fillId="0" borderId="72" xfId="0" applyFont="1" applyBorder="1" applyAlignment="1">
      <alignment horizontal="center"/>
    </xf>
    <xf numFmtId="0" fontId="84" fillId="0" borderId="98" xfId="0" applyFont="1" applyBorder="1" applyAlignment="1">
      <alignment horizontal="center"/>
    </xf>
    <xf numFmtId="0" fontId="84" fillId="0" borderId="97" xfId="0" applyFont="1" applyBorder="1" applyAlignment="1">
      <alignment horizontal="center"/>
    </xf>
    <xf numFmtId="44" fontId="84" fillId="0" borderId="88" xfId="2" applyFont="1" applyBorder="1" applyAlignment="1">
      <alignment horizontal="center"/>
    </xf>
    <xf numFmtId="44" fontId="84" fillId="0" borderId="81" xfId="2" applyFont="1" applyBorder="1" applyAlignment="1">
      <alignment horizontal="center"/>
    </xf>
    <xf numFmtId="0" fontId="20" fillId="7" borderId="79" xfId="0" applyFont="1" applyFill="1" applyBorder="1" applyAlignment="1">
      <alignment horizontal="center" vertical="center" wrapText="1"/>
    </xf>
    <xf numFmtId="0" fontId="20" fillId="7" borderId="5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40" fontId="11" fillId="8" borderId="104" xfId="4" applyNumberFormat="1" applyFont="1" applyFill="1" applyBorder="1" applyAlignment="1">
      <alignment horizontal="center" vertical="center"/>
    </xf>
    <xf numFmtId="0" fontId="41" fillId="0" borderId="0" xfId="0" applyFont="1" applyFill="1" applyAlignment="1">
      <alignment horizontal="center" vertical="top"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44" fontId="0" fillId="0" borderId="42" xfId="2" applyFont="1" applyBorder="1" applyAlignment="1">
      <alignment horizontal="center" vertical="center"/>
    </xf>
    <xf numFmtId="44" fontId="0" fillId="0" borderId="44" xfId="2" applyFont="1" applyBorder="1" applyAlignment="1">
      <alignment horizontal="center" vertical="center"/>
    </xf>
    <xf numFmtId="44" fontId="0" fillId="0" borderId="21" xfId="2" applyFont="1" applyBorder="1" applyAlignment="1">
      <alignment horizontal="center" vertical="center"/>
    </xf>
    <xf numFmtId="44" fontId="0" fillId="0" borderId="64" xfId="2" applyFont="1" applyBorder="1" applyAlignment="1">
      <alignment horizontal="center" vertical="center"/>
    </xf>
    <xf numFmtId="44" fontId="0" fillId="0" borderId="66" xfId="2" applyFont="1" applyBorder="1" applyAlignment="1">
      <alignment horizontal="center" vertical="center"/>
    </xf>
    <xf numFmtId="44" fontId="0" fillId="0" borderId="67" xfId="2" applyFont="1" applyBorder="1" applyAlignment="1">
      <alignment horizontal="center" vertical="center"/>
    </xf>
    <xf numFmtId="0" fontId="85" fillId="0" borderId="106" xfId="0" applyFont="1" applyBorder="1" applyAlignment="1">
      <alignment horizontal="center"/>
    </xf>
    <xf numFmtId="0" fontId="26" fillId="3" borderId="0" xfId="0" applyFont="1" applyFill="1" applyAlignment="1">
      <alignment horizontal="center" vertical="top"/>
    </xf>
    <xf numFmtId="0" fontId="40" fillId="3" borderId="0" xfId="0" applyFont="1" applyFill="1" applyAlignment="1">
      <alignment horizontal="center" vertical="top"/>
    </xf>
    <xf numFmtId="0" fontId="46" fillId="0" borderId="0" xfId="0" applyFont="1" applyAlignment="1">
      <alignment horizontal="center"/>
    </xf>
    <xf numFmtId="0" fontId="5" fillId="3" borderId="0" xfId="0" applyFont="1" applyFill="1" applyAlignment="1">
      <alignment vertical="center" wrapText="1"/>
    </xf>
    <xf numFmtId="0" fontId="0" fillId="6" borderId="0" xfId="0" applyFill="1"/>
    <xf numFmtId="0" fontId="5" fillId="6" borderId="0" xfId="0" applyFont="1" applyFill="1" applyAlignment="1">
      <alignment vertical="center" wrapText="1"/>
    </xf>
    <xf numFmtId="0" fontId="40" fillId="6" borderId="0" xfId="0" applyFont="1" applyFill="1" applyAlignment="1">
      <alignment vertical="top"/>
    </xf>
    <xf numFmtId="0" fontId="0" fillId="6" borderId="0" xfId="0" applyFill="1" applyAlignment="1"/>
    <xf numFmtId="0" fontId="6" fillId="6" borderId="0" xfId="0" applyFont="1" applyFill="1" applyAlignment="1">
      <alignment vertical="center" wrapText="1"/>
    </xf>
    <xf numFmtId="0" fontId="26" fillId="6" borderId="0" xfId="0" applyFont="1" applyFill="1" applyAlignment="1">
      <alignment vertical="top"/>
    </xf>
    <xf numFmtId="0" fontId="8" fillId="3" borderId="0" xfId="0" applyFont="1" applyFill="1" applyAlignment="1">
      <alignment horizontal="center" vertical="center"/>
    </xf>
    <xf numFmtId="0" fontId="8" fillId="6" borderId="0" xfId="0" applyFont="1" applyFill="1" applyAlignment="1">
      <alignment vertical="center"/>
    </xf>
    <xf numFmtId="0" fontId="86" fillId="3" borderId="0" xfId="0" applyFont="1" applyFill="1" applyAlignment="1">
      <alignment horizontal="center" wrapText="1"/>
    </xf>
    <xf numFmtId="0" fontId="86" fillId="3" borderId="0" xfId="0" applyFont="1" applyFill="1" applyAlignment="1">
      <alignment horizontal="center" vertical="center"/>
    </xf>
    <xf numFmtId="0" fontId="87" fillId="3" borderId="0" xfId="0" applyFont="1" applyFill="1" applyAlignment="1">
      <alignment horizontal="center" vertical="center"/>
    </xf>
  </cellXfs>
  <cellStyles count="11">
    <cellStyle name="Millares" xfId="1" builtinId="3"/>
    <cellStyle name="Millares 14 10" xfId="9"/>
    <cellStyle name="Millares 2 3" xfId="5"/>
    <cellStyle name="Millares 32" xfId="7"/>
    <cellStyle name="Moneda" xfId="2" builtinId="4"/>
    <cellStyle name="Normal" xfId="0" builtinId="0"/>
    <cellStyle name="Normal 10" xfId="8"/>
    <cellStyle name="Normal 2" xfId="4"/>
    <cellStyle name="Porcentaje" xfId="3" builtinId="5"/>
    <cellStyle name="Porcentual 14 10" xfId="10"/>
    <cellStyle name="Porcentual 2 3" xfId="6"/>
  </cellStyles>
  <dxfs count="0"/>
  <tableStyles count="0" defaultTableStyle="TableStyleMedium2" defaultPivotStyle="PivotStyleLight16"/>
  <colors>
    <mruColors>
      <color rgb="FFCC99FF"/>
      <color rgb="FFB2B2B2"/>
      <color rgb="FFFFFF66"/>
      <color rgb="FFFF99CC"/>
      <color rgb="FFFFCCFF"/>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161924</xdr:rowOff>
    </xdr:from>
    <xdr:to>
      <xdr:col>2</xdr:col>
      <xdr:colOff>2134912</xdr:colOff>
      <xdr:row>7</xdr:row>
      <xdr:rowOff>16423</xdr:rowOff>
    </xdr:to>
    <xdr:pic>
      <xdr:nvPicPr>
        <xdr:cNvPr id="4" name="7 Imagen" descr="D:\Mi Información\Documents\2017\logos Municipio 2017 - 2019\1_2 Heráldica Azul\JPG\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716" y="703864"/>
          <a:ext cx="2134912" cy="171023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9524</xdr:colOff>
      <xdr:row>5</xdr:row>
      <xdr:rowOff>209550</xdr:rowOff>
    </xdr:to>
    <xdr:pic>
      <xdr:nvPicPr>
        <xdr:cNvPr id="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1"/>
          <a:ext cx="1533524" cy="1343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1</xdr:row>
      <xdr:rowOff>9525</xdr:rowOff>
    </xdr:from>
    <xdr:to>
      <xdr:col>1</xdr:col>
      <xdr:colOff>742950</xdr:colOff>
      <xdr:row>5</xdr:row>
      <xdr:rowOff>85725</xdr:rowOff>
    </xdr:to>
    <xdr:pic>
      <xdr:nvPicPr>
        <xdr:cNvPr id="4" name="3 Imagen" descr="D:\Mi Información\Documents\2017\logos Municipio 2017 - 2019\1_2 Heráldica Azul\JPG\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81025"/>
          <a:ext cx="1419225" cy="14192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1</xdr:row>
      <xdr:rowOff>85725</xdr:rowOff>
    </xdr:from>
    <xdr:to>
      <xdr:col>1</xdr:col>
      <xdr:colOff>781050</xdr:colOff>
      <xdr:row>4</xdr:row>
      <xdr:rowOff>542925</xdr:rowOff>
    </xdr:to>
    <xdr:pic>
      <xdr:nvPicPr>
        <xdr:cNvPr id="2" name="1 Imagen" descr="D:\Mi Información\Documents\2017\logos Municipio 2017 - 2019\1_2 Heráldica Azul\JPG\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76225"/>
          <a:ext cx="1438275" cy="10287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1</xdr:row>
      <xdr:rowOff>181170</xdr:rowOff>
    </xdr:from>
    <xdr:to>
      <xdr:col>2</xdr:col>
      <xdr:colOff>409575</xdr:colOff>
      <xdr:row>5</xdr:row>
      <xdr:rowOff>209550</xdr:rowOff>
    </xdr:to>
    <xdr:pic>
      <xdr:nvPicPr>
        <xdr:cNvPr id="2" name="1 Imagen" descr="D:\Mi Información\Documents\2017\logos Municipio 2017 - 2019\1_2 Heráldica Azul\JPG\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71670"/>
          <a:ext cx="1714500" cy="1171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1</xdr:row>
      <xdr:rowOff>219075</xdr:rowOff>
    </xdr:from>
    <xdr:to>
      <xdr:col>1</xdr:col>
      <xdr:colOff>704850</xdr:colOff>
      <xdr:row>4</xdr:row>
      <xdr:rowOff>381000</xdr:rowOff>
    </xdr:to>
    <xdr:pic>
      <xdr:nvPicPr>
        <xdr:cNvPr id="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09575"/>
          <a:ext cx="120967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704851</xdr:colOff>
      <xdr:row>5</xdr:row>
      <xdr:rowOff>247650</xdr:rowOff>
    </xdr:to>
    <xdr:pic>
      <xdr:nvPicPr>
        <xdr:cNvPr id="6" name="Imagen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57175"/>
          <a:ext cx="1495426"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47624</xdr:colOff>
      <xdr:row>0</xdr:row>
      <xdr:rowOff>9525</xdr:rowOff>
    </xdr:from>
    <xdr:to>
      <xdr:col>1</xdr:col>
      <xdr:colOff>771524</xdr:colOff>
      <xdr:row>4</xdr:row>
      <xdr:rowOff>9524</xdr:rowOff>
    </xdr:to>
    <xdr:pic>
      <xdr:nvPicPr>
        <xdr:cNvPr id="5" name="Imagen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9525"/>
          <a:ext cx="1571625" cy="1276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194310</xdr:colOff>
      <xdr:row>0</xdr:row>
      <xdr:rowOff>200026</xdr:rowOff>
    </xdr:from>
    <xdr:to>
      <xdr:col>1</xdr:col>
      <xdr:colOff>704850</xdr:colOff>
      <xdr:row>3</xdr:row>
      <xdr:rowOff>499111</xdr:rowOff>
    </xdr:to>
    <xdr:pic>
      <xdr:nvPicPr>
        <xdr:cNvPr id="2" name="Imagen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 y="200026"/>
          <a:ext cx="1272540" cy="1003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38099</xdr:rowOff>
    </xdr:from>
    <xdr:to>
      <xdr:col>1</xdr:col>
      <xdr:colOff>797041</xdr:colOff>
      <xdr:row>7</xdr:row>
      <xdr:rowOff>19049</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599"/>
          <a:ext cx="1616191"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1</xdr:row>
      <xdr:rowOff>119904</xdr:rowOff>
    </xdr:from>
    <xdr:to>
      <xdr:col>1</xdr:col>
      <xdr:colOff>695326</xdr:colOff>
      <xdr:row>5</xdr:row>
      <xdr:rowOff>304800</xdr:rowOff>
    </xdr:to>
    <xdr:pic>
      <xdr:nvPicPr>
        <xdr:cNvPr id="2" name="Imagen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6" y="310404"/>
          <a:ext cx="1371600" cy="1261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xdr:col>
      <xdr:colOff>714375</xdr:colOff>
      <xdr:row>5</xdr:row>
      <xdr:rowOff>209550</xdr:rowOff>
    </xdr:to>
    <xdr:pic>
      <xdr:nvPicPr>
        <xdr:cNvPr id="2" name="Imagen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14001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137161</xdr:colOff>
      <xdr:row>1</xdr:row>
      <xdr:rowOff>7620</xdr:rowOff>
    </xdr:from>
    <xdr:to>
      <xdr:col>1</xdr:col>
      <xdr:colOff>840106</xdr:colOff>
      <xdr:row>5</xdr:row>
      <xdr:rowOff>266700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1" y="198120"/>
          <a:ext cx="1341120" cy="1278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BS60"/>
  <sheetViews>
    <sheetView tabSelected="1" zoomScale="58" zoomScaleNormal="58" workbookViewId="0">
      <pane xSplit="3" ySplit="13" topLeftCell="D14" activePane="bottomRight" state="frozen"/>
      <selection activeCell="Q4" sqref="Q1:R1048576"/>
      <selection pane="topRight" activeCell="Q4" sqref="Q1:R1048576"/>
      <selection pane="bottomLeft" activeCell="Q4" sqref="Q1:R1048576"/>
      <selection pane="bottomRight" activeCell="X5" sqref="X5"/>
    </sheetView>
  </sheetViews>
  <sheetFormatPr baseColWidth="10" defaultRowHeight="15"/>
  <cols>
    <col min="1" max="1" width="5.5703125" style="11" customWidth="1"/>
    <col min="2" max="2" width="0" hidden="1" customWidth="1"/>
    <col min="3" max="3" width="91.85546875" customWidth="1"/>
    <col min="4" max="4" width="38.5703125" customWidth="1"/>
    <col min="5" max="5" width="26.7109375" customWidth="1"/>
    <col min="6" max="6" width="21.5703125" style="3" hidden="1" customWidth="1"/>
    <col min="7" max="7" width="20.5703125" style="3" hidden="1" customWidth="1"/>
    <col min="8" max="8" width="28.140625" style="3" hidden="1" customWidth="1"/>
    <col min="9" max="9" width="21.28515625" style="3" hidden="1" customWidth="1"/>
    <col min="10" max="10" width="28" style="3" hidden="1" customWidth="1"/>
    <col min="11" max="11" width="22.28515625" style="3" hidden="1" customWidth="1"/>
    <col min="12" max="12" width="23.28515625" style="3" hidden="1" customWidth="1"/>
    <col min="13" max="13" width="24.85546875" style="3" hidden="1" customWidth="1"/>
    <col min="14" max="14" width="23.7109375" style="3" hidden="1" customWidth="1"/>
    <col min="15" max="15" width="19.85546875" style="3" hidden="1" customWidth="1"/>
    <col min="16" max="18" width="20.42578125" style="3" hidden="1" customWidth="1"/>
    <col min="19" max="19" width="26.42578125" style="3" customWidth="1"/>
    <col min="20" max="20" width="24.140625" style="3" customWidth="1"/>
    <col min="21" max="21" width="25.85546875" style="3" customWidth="1"/>
    <col min="22" max="22" width="41.140625" style="11" customWidth="1"/>
    <col min="23" max="23" width="22.28515625" style="11" customWidth="1"/>
    <col min="24" max="24" width="21.5703125" style="337" customWidth="1"/>
    <col min="25" max="25" width="20.28515625" style="11" bestFit="1" customWidth="1"/>
    <col min="26" max="31" width="11.5703125" style="11"/>
    <col min="32" max="32" width="16.42578125" style="11" bestFit="1" customWidth="1"/>
    <col min="33" max="71" width="11.5703125" style="11"/>
  </cols>
  <sheetData>
    <row r="2" spans="1:71" ht="27" customHeight="1">
      <c r="E2" s="173"/>
      <c r="L2" s="3">
        <f>55902.17-L15</f>
        <v>0</v>
      </c>
    </row>
    <row r="4" spans="1:71" s="8" customFormat="1" ht="34.5" customHeight="1">
      <c r="A4" s="10"/>
      <c r="B4" s="7"/>
      <c r="C4" s="796" t="s">
        <v>1317</v>
      </c>
      <c r="D4" s="796"/>
      <c r="E4" s="796"/>
      <c r="F4" s="796"/>
      <c r="G4" s="796"/>
      <c r="H4" s="796"/>
      <c r="I4" s="796"/>
      <c r="J4" s="796"/>
      <c r="K4" s="796"/>
      <c r="L4" s="796"/>
      <c r="M4" s="796"/>
      <c r="N4" s="796"/>
      <c r="O4" s="796"/>
      <c r="P4" s="796"/>
      <c r="Q4" s="796"/>
      <c r="R4" s="796"/>
      <c r="S4" s="796"/>
      <c r="T4" s="796"/>
      <c r="U4" s="796"/>
      <c r="V4" s="796"/>
      <c r="W4" s="436"/>
      <c r="X4" s="436"/>
      <c r="Y4" s="430"/>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row>
    <row r="5" spans="1:71" s="8" customFormat="1" ht="31.5" customHeight="1">
      <c r="A5" s="10"/>
      <c r="B5" s="7"/>
      <c r="C5" s="796" t="s">
        <v>844</v>
      </c>
      <c r="D5" s="796"/>
      <c r="E5" s="796"/>
      <c r="F5" s="796"/>
      <c r="G5" s="796"/>
      <c r="H5" s="796"/>
      <c r="I5" s="796"/>
      <c r="J5" s="796"/>
      <c r="K5" s="796"/>
      <c r="L5" s="796"/>
      <c r="M5" s="796"/>
      <c r="N5" s="796"/>
      <c r="O5" s="796"/>
      <c r="P5" s="796"/>
      <c r="Q5" s="796"/>
      <c r="R5" s="796"/>
      <c r="S5" s="796"/>
      <c r="T5" s="796"/>
      <c r="U5" s="796"/>
      <c r="V5" s="796"/>
      <c r="W5" s="437"/>
      <c r="X5" s="437"/>
      <c r="Y5" s="430"/>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row>
    <row r="6" spans="1:71" ht="36" customHeight="1">
      <c r="A6" s="10"/>
      <c r="B6" s="5"/>
      <c r="C6" s="797" t="s">
        <v>7</v>
      </c>
      <c r="D6" s="797"/>
      <c r="E6" s="797"/>
      <c r="F6" s="797"/>
      <c r="G6" s="797"/>
      <c r="H6" s="797"/>
      <c r="I6" s="797"/>
      <c r="J6" s="797"/>
      <c r="K6" s="797"/>
      <c r="L6" s="797"/>
      <c r="M6" s="797"/>
      <c r="N6" s="797"/>
      <c r="O6" s="797"/>
      <c r="P6" s="797"/>
      <c r="Q6" s="797"/>
      <c r="R6" s="797"/>
      <c r="S6" s="797"/>
      <c r="T6" s="797"/>
      <c r="U6" s="797"/>
      <c r="V6" s="797"/>
      <c r="W6" s="438"/>
      <c r="X6" s="438"/>
      <c r="Y6" s="430"/>
    </row>
    <row r="7" spans="1:71" s="8" customFormat="1" ht="28.5">
      <c r="A7" s="6"/>
      <c r="B7" s="9"/>
      <c r="C7" s="798" t="s">
        <v>6</v>
      </c>
      <c r="D7" s="798"/>
      <c r="E7" s="798"/>
      <c r="F7" s="798"/>
      <c r="G7" s="798"/>
      <c r="H7" s="798"/>
      <c r="I7" s="798"/>
      <c r="J7" s="798"/>
      <c r="K7" s="798"/>
      <c r="L7" s="798"/>
      <c r="M7" s="798"/>
      <c r="N7" s="798"/>
      <c r="O7" s="798"/>
      <c r="P7" s="798"/>
      <c r="Q7" s="798"/>
      <c r="R7" s="798"/>
      <c r="S7" s="798"/>
      <c r="T7" s="798"/>
      <c r="U7" s="798"/>
      <c r="V7" s="798"/>
      <c r="W7" s="439"/>
      <c r="X7" s="439"/>
      <c r="Y7" s="43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row>
    <row r="9" spans="1:71" ht="26.25">
      <c r="C9" s="783" t="s">
        <v>1318</v>
      </c>
      <c r="D9" s="783"/>
      <c r="E9" s="783"/>
      <c r="F9" s="783"/>
      <c r="G9" s="783"/>
      <c r="H9" s="783"/>
      <c r="I9" s="783"/>
      <c r="J9" s="783"/>
      <c r="K9" s="783"/>
      <c r="L9" s="783"/>
      <c r="M9" s="783"/>
      <c r="N9" s="783"/>
      <c r="O9" s="783"/>
      <c r="P9" s="783"/>
      <c r="Q9" s="783"/>
      <c r="R9" s="783"/>
      <c r="S9" s="783"/>
      <c r="T9" s="783"/>
      <c r="U9" s="783"/>
      <c r="V9" s="783"/>
    </row>
    <row r="10" spans="1:71" s="189" customFormat="1" ht="23.25">
      <c r="A10" s="188"/>
      <c r="B10" s="609" t="s">
        <v>2</v>
      </c>
      <c r="C10" s="612" t="s">
        <v>9</v>
      </c>
      <c r="D10" s="619" t="s">
        <v>3</v>
      </c>
      <c r="E10" s="620"/>
      <c r="F10" s="616" t="s">
        <v>6</v>
      </c>
      <c r="G10" s="617"/>
      <c r="H10" s="617"/>
      <c r="I10" s="617"/>
      <c r="J10" s="618"/>
      <c r="K10" s="625" t="s">
        <v>182</v>
      </c>
      <c r="L10" s="626"/>
      <c r="M10" s="626"/>
      <c r="N10" s="626"/>
      <c r="O10" s="626"/>
      <c r="P10" s="627"/>
      <c r="Q10" s="633" t="s">
        <v>272</v>
      </c>
      <c r="R10" s="639" t="s">
        <v>178</v>
      </c>
      <c r="S10" s="645" t="s">
        <v>845</v>
      </c>
      <c r="T10" s="646"/>
      <c r="U10" s="647"/>
      <c r="V10" s="636" t="s">
        <v>13</v>
      </c>
      <c r="W10" s="188"/>
      <c r="X10" s="337"/>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row>
    <row r="11" spans="1:71" s="189" customFormat="1" ht="21.75" customHeight="1">
      <c r="A11" s="188"/>
      <c r="B11" s="610"/>
      <c r="C11" s="613"/>
      <c r="D11" s="621"/>
      <c r="E11" s="622"/>
      <c r="F11" s="623" t="s">
        <v>925</v>
      </c>
      <c r="G11" s="642" t="s">
        <v>190</v>
      </c>
      <c r="H11" s="643"/>
      <c r="I11" s="644"/>
      <c r="J11" s="623" t="s">
        <v>179</v>
      </c>
      <c r="K11" s="615" t="s">
        <v>922</v>
      </c>
      <c r="L11" s="615" t="s">
        <v>926</v>
      </c>
      <c r="M11" s="615" t="s">
        <v>924</v>
      </c>
      <c r="N11" s="615" t="s">
        <v>929</v>
      </c>
      <c r="O11" s="615" t="s">
        <v>927</v>
      </c>
      <c r="P11" s="615" t="s">
        <v>928</v>
      </c>
      <c r="Q11" s="634"/>
      <c r="R11" s="640"/>
      <c r="S11" s="649" t="s">
        <v>1038</v>
      </c>
      <c r="T11" s="468"/>
      <c r="U11" s="468"/>
      <c r="V11" s="637"/>
      <c r="W11" s="188"/>
      <c r="X11" s="337"/>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row>
    <row r="12" spans="1:71" s="2" customFormat="1" ht="62.25" customHeight="1">
      <c r="A12" s="12"/>
      <c r="B12" s="611"/>
      <c r="C12" s="614"/>
      <c r="D12" s="434" t="s">
        <v>126</v>
      </c>
      <c r="E12" s="434" t="s">
        <v>4</v>
      </c>
      <c r="F12" s="624"/>
      <c r="G12" s="435" t="s">
        <v>922</v>
      </c>
      <c r="H12" s="435" t="s">
        <v>923</v>
      </c>
      <c r="I12" s="435" t="s">
        <v>924</v>
      </c>
      <c r="J12" s="624"/>
      <c r="K12" s="615"/>
      <c r="L12" s="615"/>
      <c r="M12" s="615"/>
      <c r="N12" s="615"/>
      <c r="O12" s="615"/>
      <c r="P12" s="615"/>
      <c r="Q12" s="635"/>
      <c r="R12" s="641"/>
      <c r="S12" s="650"/>
      <c r="T12" s="469" t="s">
        <v>955</v>
      </c>
      <c r="U12" s="469" t="s">
        <v>954</v>
      </c>
      <c r="V12" s="638"/>
      <c r="W12" s="12"/>
      <c r="X12" s="339"/>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row>
    <row r="13" spans="1:71" s="2" customFormat="1" ht="15.75" thickBot="1">
      <c r="A13" s="12"/>
      <c r="C13" s="110"/>
      <c r="D13" s="111"/>
      <c r="E13" s="111"/>
      <c r="F13" s="111"/>
      <c r="G13" s="111"/>
      <c r="H13" s="111"/>
      <c r="I13" s="111"/>
      <c r="J13" s="111"/>
      <c r="K13" s="111"/>
      <c r="L13" s="111"/>
      <c r="M13" s="111"/>
      <c r="N13" s="111"/>
      <c r="O13" s="111"/>
      <c r="P13" s="111"/>
      <c r="Q13" s="111"/>
      <c r="R13" s="111"/>
      <c r="S13" s="110"/>
      <c r="T13" s="110"/>
      <c r="U13" s="110"/>
      <c r="V13" s="12"/>
      <c r="W13" s="12"/>
      <c r="X13" s="339"/>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row>
    <row r="14" spans="1:71" s="185" customFormat="1" ht="35.1" customHeight="1">
      <c r="A14" s="181"/>
      <c r="B14" s="182" t="s">
        <v>1</v>
      </c>
      <c r="C14" s="442" t="s">
        <v>10</v>
      </c>
      <c r="D14" s="443">
        <v>258027323.47999999</v>
      </c>
      <c r="E14" s="443">
        <f>PDM!C9</f>
        <v>225136946.62</v>
      </c>
      <c r="F14" s="443">
        <f>67232857.37+14071685.87+17794269.72+19205252.84+21681596.67</f>
        <v>139985662.47000003</v>
      </c>
      <c r="G14" s="443">
        <f>19390625.18+2190670.23+2126684.83+2456324.55+4389102.15</f>
        <v>30553406.940000005</v>
      </c>
      <c r="H14" s="443">
        <f>26295718.4+3533308.91+5510393.44+1491099.58+8856944.71</f>
        <v>45687465.039999999</v>
      </c>
      <c r="I14" s="443">
        <f>3095014.52+1362101.47+245142.18+1140796.62+2342164.18</f>
        <v>8185218.9700000007</v>
      </c>
      <c r="J14" s="443">
        <f>SUM(F14:I14)</f>
        <v>224411753.42000002</v>
      </c>
      <c r="K14" s="443"/>
      <c r="L14" s="443"/>
      <c r="M14" s="443"/>
      <c r="N14" s="443"/>
      <c r="O14" s="443"/>
      <c r="P14" s="443"/>
      <c r="Q14" s="443">
        <f>73436.11+1468.73+11169.62+1786.69+23950.86+60192.94+34495.89+29478.77+318128.83+60027.58+111056.77</f>
        <v>725192.79</v>
      </c>
      <c r="R14" s="443"/>
      <c r="S14" s="443">
        <f>J14+Q14</f>
        <v>225136946.21000001</v>
      </c>
      <c r="T14" s="443"/>
      <c r="U14" s="443"/>
      <c r="V14" s="599">
        <f t="shared" ref="V14:V40" si="0">E14-S14-T14-U14</f>
        <v>0.40999999642372131</v>
      </c>
      <c r="W14" s="183"/>
      <c r="X14" s="183"/>
      <c r="Y14" s="183"/>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row>
    <row r="15" spans="1:71" s="185" customFormat="1" ht="35.1" customHeight="1">
      <c r="A15" s="181"/>
      <c r="B15" s="182" t="s">
        <v>0</v>
      </c>
      <c r="C15" s="444" t="s">
        <v>11</v>
      </c>
      <c r="D15" s="432">
        <v>419500</v>
      </c>
      <c r="E15" s="432">
        <v>419500</v>
      </c>
      <c r="F15" s="432"/>
      <c r="G15" s="432"/>
      <c r="H15" s="432"/>
      <c r="I15" s="432"/>
      <c r="J15" s="432">
        <f t="shared" ref="J15:J39" si="1">SUM(F15:I15)</f>
        <v>0</v>
      </c>
      <c r="K15" s="432"/>
      <c r="L15" s="432">
        <f>52653+3249.17</f>
        <v>55902.17</v>
      </c>
      <c r="M15" s="432">
        <v>146190.14000000001</v>
      </c>
      <c r="N15" s="432"/>
      <c r="O15" s="432">
        <f>177509.48</f>
        <v>177509.48</v>
      </c>
      <c r="P15" s="432"/>
      <c r="Q15" s="432"/>
      <c r="R15" s="432"/>
      <c r="S15" s="595"/>
      <c r="T15" s="596"/>
      <c r="U15" s="432">
        <f>SUM(K15:P15)</f>
        <v>379601.79000000004</v>
      </c>
      <c r="V15" s="592">
        <f t="shared" si="0"/>
        <v>39898.209999999963</v>
      </c>
      <c r="W15" s="181"/>
      <c r="X15" s="183"/>
      <c r="Y15" s="183"/>
      <c r="Z15" s="181"/>
      <c r="AA15" s="181"/>
      <c r="AB15" s="181"/>
      <c r="AC15" s="181"/>
      <c r="AD15" s="181"/>
      <c r="AE15" s="181"/>
      <c r="AF15" s="183"/>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row>
    <row r="16" spans="1:71" s="185" customFormat="1" ht="50.25" customHeight="1">
      <c r="A16" s="181"/>
      <c r="B16" s="182">
        <v>2502</v>
      </c>
      <c r="C16" s="445" t="s">
        <v>1313</v>
      </c>
      <c r="D16" s="432">
        <f>524503887</f>
        <v>524503887</v>
      </c>
      <c r="E16" s="432">
        <f>FORTAMUND!C10</f>
        <v>525324627.38999999</v>
      </c>
      <c r="F16" s="432"/>
      <c r="G16" s="432"/>
      <c r="H16" s="432"/>
      <c r="I16" s="432"/>
      <c r="J16" s="432">
        <f t="shared" si="1"/>
        <v>0</v>
      </c>
      <c r="K16" s="432">
        <f>FORTAMUND!G16</f>
        <v>443124252.48000002</v>
      </c>
      <c r="L16" s="432"/>
      <c r="M16" s="432">
        <f>FORTAMUND!G17</f>
        <v>868247</v>
      </c>
      <c r="N16" s="432">
        <f>FORTAMUND!G19+FORTAMUND!G20+FORTAMUND!G21+FORTAMUND!G22+FORTAMUND!G23</f>
        <v>38340287.629999995</v>
      </c>
      <c r="O16" s="432"/>
      <c r="P16" s="432">
        <f>FORTAMUND!G18</f>
        <v>42747093.390000001</v>
      </c>
      <c r="Q16" s="432"/>
      <c r="R16" s="432"/>
      <c r="S16" s="595"/>
      <c r="T16" s="596"/>
      <c r="U16" s="432">
        <f>SUM(K16:P16)</f>
        <v>525079880.5</v>
      </c>
      <c r="V16" s="593">
        <f t="shared" si="0"/>
        <v>244746.88999998569</v>
      </c>
      <c r="W16" s="183"/>
      <c r="X16" s="183"/>
      <c r="Y16" s="184"/>
      <c r="Z16" s="181"/>
      <c r="AA16" s="181"/>
      <c r="AB16" s="181"/>
      <c r="AC16" s="181"/>
      <c r="AD16" s="181"/>
      <c r="AE16" s="181"/>
      <c r="AF16" s="184"/>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row>
    <row r="17" spans="1:71" s="181" customFormat="1" ht="35.1" customHeight="1">
      <c r="B17" s="591">
        <v>25015520</v>
      </c>
      <c r="C17" s="444" t="s">
        <v>1311</v>
      </c>
      <c r="D17" s="432">
        <v>122600519.06</v>
      </c>
      <c r="E17" s="432">
        <f>FISMDF!C10</f>
        <v>121966440.71999998</v>
      </c>
      <c r="F17" s="432">
        <f>98530602.81+121507.34+290131.52</f>
        <v>98942241.670000002</v>
      </c>
      <c r="G17" s="432"/>
      <c r="H17" s="432"/>
      <c r="I17" s="432"/>
      <c r="J17" s="432">
        <f t="shared" si="1"/>
        <v>98942241.670000002</v>
      </c>
      <c r="K17" s="432"/>
      <c r="L17" s="432">
        <v>24544.59</v>
      </c>
      <c r="M17" s="432">
        <v>2619950.3200000003</v>
      </c>
      <c r="N17" s="432">
        <v>17570984</v>
      </c>
      <c r="O17" s="432">
        <f>2808720</f>
        <v>2808720</v>
      </c>
      <c r="P17" s="432"/>
      <c r="Q17" s="432"/>
      <c r="R17" s="432"/>
      <c r="S17" s="432">
        <f>F17</f>
        <v>98942241.670000002</v>
      </c>
      <c r="T17" s="596"/>
      <c r="U17" s="432">
        <f>N17+O17+M17+L17</f>
        <v>23024198.91</v>
      </c>
      <c r="V17" s="593">
        <f>D17-J17-U17</f>
        <v>634078.48000000045</v>
      </c>
      <c r="W17" s="184"/>
      <c r="X17" s="183"/>
      <c r="Y17" s="184"/>
    </row>
    <row r="18" spans="1:71" s="185" customFormat="1" ht="35.1" customHeight="1">
      <c r="A18" s="181"/>
      <c r="B18" s="182">
        <v>2505</v>
      </c>
      <c r="C18" s="444" t="s">
        <v>935</v>
      </c>
      <c r="D18" s="432">
        <v>8791200</v>
      </c>
      <c r="E18" s="432">
        <v>8791200</v>
      </c>
      <c r="F18" s="432">
        <f>'FORTAFIN  C'!G17</f>
        <v>8791200</v>
      </c>
      <c r="G18" s="432"/>
      <c r="H18" s="432"/>
      <c r="I18" s="432"/>
      <c r="J18" s="432">
        <f t="shared" si="1"/>
        <v>8791200</v>
      </c>
      <c r="K18" s="432"/>
      <c r="L18" s="432"/>
      <c r="M18" s="432"/>
      <c r="N18" s="432"/>
      <c r="O18" s="432"/>
      <c r="P18" s="432"/>
      <c r="Q18" s="432"/>
      <c r="R18" s="432"/>
      <c r="S18" s="432">
        <f t="shared" ref="S18" si="2">SUM(I18:Q18)</f>
        <v>8791200</v>
      </c>
      <c r="T18" s="596"/>
      <c r="U18" s="595">
        <v>0</v>
      </c>
      <c r="V18" s="594">
        <f t="shared" si="0"/>
        <v>0</v>
      </c>
      <c r="W18" s="184"/>
      <c r="X18" s="183"/>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row>
    <row r="19" spans="1:71" s="185" customFormat="1" ht="35.1" customHeight="1">
      <c r="A19" s="181"/>
      <c r="B19" s="182"/>
      <c r="C19" s="445" t="s">
        <v>936</v>
      </c>
      <c r="D19" s="432">
        <v>8800</v>
      </c>
      <c r="E19" s="432">
        <v>8800</v>
      </c>
      <c r="F19" s="432"/>
      <c r="G19" s="432"/>
      <c r="H19" s="432"/>
      <c r="I19" s="432"/>
      <c r="J19" s="432">
        <f>SUM(F19:I19)</f>
        <v>0</v>
      </c>
      <c r="K19" s="432"/>
      <c r="L19" s="432"/>
      <c r="M19" s="432"/>
      <c r="N19" s="432"/>
      <c r="O19" s="432"/>
      <c r="P19" s="432"/>
      <c r="Q19" s="432"/>
      <c r="R19" s="432">
        <f>E19</f>
        <v>8800</v>
      </c>
      <c r="S19" s="595">
        <v>0</v>
      </c>
      <c r="T19" s="596">
        <f>R19</f>
        <v>8800</v>
      </c>
      <c r="U19" s="595">
        <v>0</v>
      </c>
      <c r="V19" s="594">
        <f t="shared" si="0"/>
        <v>0</v>
      </c>
      <c r="W19" s="181"/>
      <c r="X19" s="183"/>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row>
    <row r="20" spans="1:71" s="185" customFormat="1" ht="35.1" customHeight="1">
      <c r="A20" s="181"/>
      <c r="B20" s="182"/>
      <c r="C20" s="445" t="s">
        <v>937</v>
      </c>
      <c r="D20" s="432">
        <v>19965.009999999998</v>
      </c>
      <c r="E20" s="432">
        <v>19965.009999999998</v>
      </c>
      <c r="F20" s="432"/>
      <c r="G20" s="432"/>
      <c r="H20" s="432"/>
      <c r="I20" s="432"/>
      <c r="J20" s="432">
        <f t="shared" si="1"/>
        <v>0</v>
      </c>
      <c r="K20" s="432"/>
      <c r="L20" s="432"/>
      <c r="M20" s="432"/>
      <c r="N20" s="432"/>
      <c r="O20" s="432"/>
      <c r="P20" s="432"/>
      <c r="Q20" s="432"/>
      <c r="R20" s="432">
        <f>E20</f>
        <v>19965.009999999998</v>
      </c>
      <c r="S20" s="595">
        <v>0</v>
      </c>
      <c r="T20" s="596">
        <f>R20</f>
        <v>19965.009999999998</v>
      </c>
      <c r="U20" s="595">
        <v>0</v>
      </c>
      <c r="V20" s="594">
        <f t="shared" si="0"/>
        <v>0</v>
      </c>
      <c r="W20" s="181"/>
      <c r="X20" s="183"/>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row>
    <row r="21" spans="1:71" s="185" customFormat="1" ht="35.1" customHeight="1">
      <c r="A21" s="181"/>
      <c r="B21" s="182"/>
      <c r="C21" s="445" t="s">
        <v>938</v>
      </c>
      <c r="D21" s="432">
        <v>3954.57</v>
      </c>
      <c r="E21" s="432">
        <v>3954.57</v>
      </c>
      <c r="F21" s="432"/>
      <c r="G21" s="432"/>
      <c r="H21" s="432"/>
      <c r="I21" s="432"/>
      <c r="J21" s="432">
        <f t="shared" si="1"/>
        <v>0</v>
      </c>
      <c r="K21" s="432"/>
      <c r="L21" s="432"/>
      <c r="M21" s="432"/>
      <c r="N21" s="432"/>
      <c r="O21" s="432"/>
      <c r="P21" s="432"/>
      <c r="Q21" s="432"/>
      <c r="R21" s="432">
        <f>E21</f>
        <v>3954.57</v>
      </c>
      <c r="S21" s="595">
        <v>0</v>
      </c>
      <c r="T21" s="596">
        <f>R21</f>
        <v>3954.57</v>
      </c>
      <c r="U21" s="595">
        <v>0</v>
      </c>
      <c r="V21" s="594">
        <f t="shared" si="0"/>
        <v>0</v>
      </c>
      <c r="W21" s="181"/>
      <c r="X21" s="183"/>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row>
    <row r="22" spans="1:71" s="185" customFormat="1" ht="35.1" customHeight="1">
      <c r="A22" s="181"/>
      <c r="B22" s="182">
        <v>2506</v>
      </c>
      <c r="C22" s="444" t="s">
        <v>939</v>
      </c>
      <c r="D22" s="432">
        <v>54439517.530000001</v>
      </c>
      <c r="E22" s="432">
        <f>'FORTAFIN A'!C10</f>
        <v>54439516.020000003</v>
      </c>
      <c r="F22" s="432">
        <f>'FORTAFIN A'!G23</f>
        <v>54385078.010000005</v>
      </c>
      <c r="G22" s="432"/>
      <c r="H22" s="432"/>
      <c r="I22" s="432"/>
      <c r="J22" s="432">
        <f t="shared" ref="J22" si="3">SUM(F22:I22)</f>
        <v>54385078.010000005</v>
      </c>
      <c r="K22" s="432"/>
      <c r="L22" s="432"/>
      <c r="M22" s="432"/>
      <c r="N22" s="432"/>
      <c r="O22" s="432"/>
      <c r="P22" s="432"/>
      <c r="Q22" s="432"/>
      <c r="R22" s="432"/>
      <c r="S22" s="432">
        <f>E22</f>
        <v>54439516.020000003</v>
      </c>
      <c r="T22" s="596"/>
      <c r="U22" s="595">
        <v>0</v>
      </c>
      <c r="V22" s="594">
        <f>E22-S22</f>
        <v>0</v>
      </c>
      <c r="W22" s="183"/>
      <c r="X22" s="183"/>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row>
    <row r="23" spans="1:71" s="181" customFormat="1" ht="35.1" customHeight="1">
      <c r="B23" s="342">
        <v>2506</v>
      </c>
      <c r="C23" s="444" t="s">
        <v>1314</v>
      </c>
      <c r="D23" s="432">
        <v>54439.51</v>
      </c>
      <c r="E23" s="432">
        <f>D23</f>
        <v>54439.51</v>
      </c>
      <c r="F23" s="432"/>
      <c r="G23" s="432"/>
      <c r="H23" s="432"/>
      <c r="I23" s="432"/>
      <c r="J23" s="432">
        <f t="shared" ref="J23:J24" si="4">SUM(F23:I23)</f>
        <v>0</v>
      </c>
      <c r="K23" s="432"/>
      <c r="L23" s="432"/>
      <c r="M23" s="432"/>
      <c r="N23" s="432"/>
      <c r="O23" s="432"/>
      <c r="P23" s="432"/>
      <c r="Q23" s="432"/>
      <c r="R23" s="432">
        <f>E23</f>
        <v>54439.51</v>
      </c>
      <c r="S23" s="595">
        <v>0</v>
      </c>
      <c r="T23" s="596">
        <f>R23</f>
        <v>54439.51</v>
      </c>
      <c r="U23" s="595">
        <v>0</v>
      </c>
      <c r="V23" s="594">
        <f t="shared" ref="V23:V24" si="5">E23-S23-T23-U23</f>
        <v>0</v>
      </c>
      <c r="W23" s="183"/>
      <c r="X23" s="183"/>
    </row>
    <row r="24" spans="1:71" s="185" customFormat="1" ht="35.1" customHeight="1">
      <c r="A24" s="181"/>
      <c r="B24" s="182">
        <v>2506</v>
      </c>
      <c r="C24" s="444" t="s">
        <v>940</v>
      </c>
      <c r="D24" s="432">
        <f>'FORTAFIN B'!C9</f>
        <v>4995000</v>
      </c>
      <c r="E24" s="432">
        <f>D24</f>
        <v>4995000</v>
      </c>
      <c r="F24" s="432">
        <f>'FORTAFIN B'!C9</f>
        <v>4995000</v>
      </c>
      <c r="G24" s="432"/>
      <c r="H24" s="432"/>
      <c r="I24" s="432"/>
      <c r="J24" s="432">
        <f t="shared" si="4"/>
        <v>4995000</v>
      </c>
      <c r="K24" s="432"/>
      <c r="L24" s="432"/>
      <c r="M24" s="432"/>
      <c r="N24" s="432"/>
      <c r="O24" s="432"/>
      <c r="P24" s="432"/>
      <c r="Q24" s="432"/>
      <c r="R24" s="432"/>
      <c r="S24" s="432">
        <f t="shared" ref="S24" si="6">SUM(J24:R24)</f>
        <v>4995000</v>
      </c>
      <c r="T24" s="596"/>
      <c r="U24" s="595">
        <v>0</v>
      </c>
      <c r="V24" s="594">
        <f t="shared" si="5"/>
        <v>0</v>
      </c>
      <c r="W24" s="181"/>
      <c r="X24" s="183"/>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row>
    <row r="25" spans="1:71" s="181" customFormat="1" ht="35.1" customHeight="1">
      <c r="B25" s="342">
        <v>2506</v>
      </c>
      <c r="C25" s="444" t="s">
        <v>1315</v>
      </c>
      <c r="D25" s="432">
        <f>'FORTAFIN B'!H16</f>
        <v>5000</v>
      </c>
      <c r="E25" s="432">
        <f>D25</f>
        <v>5000</v>
      </c>
      <c r="F25" s="432"/>
      <c r="G25" s="432"/>
      <c r="H25" s="432"/>
      <c r="I25" s="432"/>
      <c r="J25" s="432">
        <f t="shared" ref="J25:J27" si="7">SUM(F25:I25)</f>
        <v>0</v>
      </c>
      <c r="K25" s="432"/>
      <c r="L25" s="432"/>
      <c r="M25" s="432"/>
      <c r="N25" s="432"/>
      <c r="O25" s="432"/>
      <c r="P25" s="432"/>
      <c r="Q25" s="432"/>
      <c r="R25" s="432">
        <f>E25</f>
        <v>5000</v>
      </c>
      <c r="S25" s="595">
        <v>0</v>
      </c>
      <c r="T25" s="596">
        <f>R25</f>
        <v>5000</v>
      </c>
      <c r="U25" s="595">
        <v>0</v>
      </c>
      <c r="V25" s="594">
        <f t="shared" ref="V25" si="8">E25-S25-T25-U25</f>
        <v>0</v>
      </c>
      <c r="X25" s="183"/>
    </row>
    <row r="26" spans="1:71" s="185" customFormat="1" ht="35.1" customHeight="1">
      <c r="A26" s="181"/>
      <c r="B26" s="182">
        <v>2506</v>
      </c>
      <c r="C26" s="444" t="s">
        <v>941</v>
      </c>
      <c r="D26" s="432">
        <f>69997621.08-D27</f>
        <v>69927623.459999993</v>
      </c>
      <c r="E26" s="432">
        <v>69927623.459999993</v>
      </c>
      <c r="F26" s="432">
        <v>69920032</v>
      </c>
      <c r="G26" s="432"/>
      <c r="H26" s="432"/>
      <c r="I26" s="432"/>
      <c r="J26" s="432">
        <f t="shared" ref="J26" si="9">SUM(F26:I26)</f>
        <v>69920032</v>
      </c>
      <c r="K26" s="432"/>
      <c r="L26" s="432"/>
      <c r="M26" s="432"/>
      <c r="N26" s="432"/>
      <c r="O26" s="432"/>
      <c r="P26" s="432"/>
      <c r="Q26" s="432"/>
      <c r="R26" s="432"/>
      <c r="S26" s="432">
        <f t="shared" ref="S26:S39" si="10">SUM(J26:R26)</f>
        <v>69920032</v>
      </c>
      <c r="T26" s="596"/>
      <c r="U26" s="595">
        <v>0</v>
      </c>
      <c r="V26" s="594">
        <f t="shared" si="0"/>
        <v>7591.4599999934435</v>
      </c>
      <c r="W26" s="181"/>
      <c r="X26" s="183"/>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row>
    <row r="27" spans="1:71" s="185" customFormat="1" ht="35.1" customHeight="1">
      <c r="A27" s="181"/>
      <c r="B27" s="182">
        <v>2506</v>
      </c>
      <c r="C27" s="445" t="s">
        <v>942</v>
      </c>
      <c r="D27" s="432">
        <v>69997.62</v>
      </c>
      <c r="E27" s="432">
        <v>69997.62</v>
      </c>
      <c r="F27" s="432"/>
      <c r="G27" s="432"/>
      <c r="H27" s="432"/>
      <c r="I27" s="432"/>
      <c r="J27" s="432">
        <f t="shared" si="7"/>
        <v>0</v>
      </c>
      <c r="K27" s="432"/>
      <c r="L27" s="432"/>
      <c r="M27" s="432"/>
      <c r="N27" s="432"/>
      <c r="O27" s="432"/>
      <c r="P27" s="432"/>
      <c r="Q27" s="432"/>
      <c r="R27" s="432">
        <v>69998</v>
      </c>
      <c r="S27" s="595">
        <v>0</v>
      </c>
      <c r="T27" s="596">
        <f>R27</f>
        <v>69998</v>
      </c>
      <c r="U27" s="595">
        <v>0</v>
      </c>
      <c r="V27" s="594">
        <f t="shared" si="0"/>
        <v>-0.38000000000465661</v>
      </c>
      <c r="W27" s="181"/>
      <c r="X27" s="183"/>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row>
    <row r="28" spans="1:71" s="185" customFormat="1" ht="35.1" customHeight="1">
      <c r="A28" s="181"/>
      <c r="B28" s="182">
        <v>2506</v>
      </c>
      <c r="C28" s="444" t="s">
        <v>943</v>
      </c>
      <c r="D28" s="432">
        <v>1579980.51</v>
      </c>
      <c r="E28" s="432">
        <f>'PRORE 2018'!C7</f>
        <v>1579980.53</v>
      </c>
      <c r="F28" s="432">
        <f>'PRORE 2018'!G14</f>
        <v>1578400.46</v>
      </c>
      <c r="G28" s="432"/>
      <c r="H28" s="432"/>
      <c r="I28" s="432"/>
      <c r="J28" s="432">
        <f t="shared" si="1"/>
        <v>1578400.46</v>
      </c>
      <c r="K28" s="432"/>
      <c r="L28" s="432"/>
      <c r="M28" s="432"/>
      <c r="N28" s="432"/>
      <c r="O28" s="432"/>
      <c r="P28" s="432"/>
      <c r="Q28" s="432"/>
      <c r="R28" s="432">
        <f>'PRORE 2018'!G15</f>
        <v>1580</v>
      </c>
      <c r="S28" s="432">
        <f>F28</f>
        <v>1578400.46</v>
      </c>
      <c r="T28" s="596">
        <f>R28</f>
        <v>1580</v>
      </c>
      <c r="U28" s="595">
        <v>0</v>
      </c>
      <c r="V28" s="594">
        <f t="shared" si="0"/>
        <v>7.000000006519258E-2</v>
      </c>
      <c r="W28" s="181"/>
      <c r="X28" s="183"/>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row>
    <row r="29" spans="1:71" s="181" customFormat="1" ht="51" customHeight="1">
      <c r="B29" s="342">
        <v>2510</v>
      </c>
      <c r="C29" s="445" t="s">
        <v>944</v>
      </c>
      <c r="D29" s="432">
        <v>1444100</v>
      </c>
      <c r="E29" s="432">
        <v>1444100</v>
      </c>
      <c r="F29" s="432"/>
      <c r="G29" s="432"/>
      <c r="H29" s="432"/>
      <c r="I29" s="432"/>
      <c r="J29" s="432">
        <f t="shared" ref="J29" si="11">SUM(F29:I29)</f>
        <v>0</v>
      </c>
      <c r="K29" s="432"/>
      <c r="L29" s="432"/>
      <c r="M29" s="432">
        <f>136500+80494.12</f>
        <v>216994.12</v>
      </c>
      <c r="N29" s="432"/>
      <c r="O29" s="432">
        <f>1213800</f>
        <v>1213800</v>
      </c>
      <c r="P29" s="432"/>
      <c r="Q29" s="432"/>
      <c r="R29" s="432"/>
      <c r="S29" s="595">
        <v>0</v>
      </c>
      <c r="T29" s="596"/>
      <c r="U29" s="432">
        <f>SUM(J29:R29)</f>
        <v>1430794.12</v>
      </c>
      <c r="V29" s="594">
        <f t="shared" si="0"/>
        <v>13305.879999999888</v>
      </c>
      <c r="W29" s="187"/>
      <c r="X29" s="183"/>
    </row>
    <row r="30" spans="1:71" s="186" customFormat="1" ht="52.5" customHeight="1">
      <c r="B30" s="343">
        <v>2510</v>
      </c>
      <c r="C30" s="445" t="s">
        <v>945</v>
      </c>
      <c r="D30" s="433">
        <v>618900</v>
      </c>
      <c r="E30" s="433">
        <v>618900</v>
      </c>
      <c r="F30" s="433"/>
      <c r="G30" s="433"/>
      <c r="H30" s="433"/>
      <c r="I30" s="433"/>
      <c r="J30" s="433">
        <f t="shared" ref="J30:J31" si="12">SUM(F30:I30)</f>
        <v>0</v>
      </c>
      <c r="K30" s="433"/>
      <c r="L30" s="433"/>
      <c r="M30" s="433">
        <f>58499.99+34449.74</f>
        <v>92949.73</v>
      </c>
      <c r="N30" s="433"/>
      <c r="O30" s="433">
        <f>520200</f>
        <v>520200</v>
      </c>
      <c r="P30" s="433"/>
      <c r="Q30" s="433"/>
      <c r="R30" s="433"/>
      <c r="S30" s="595">
        <v>0</v>
      </c>
      <c r="T30" s="596"/>
      <c r="U30" s="433">
        <f>SUM(J30:R30)</f>
        <v>613149.73</v>
      </c>
      <c r="V30" s="594">
        <f t="shared" si="0"/>
        <v>5750.2700000000186</v>
      </c>
      <c r="W30" s="341"/>
      <c r="X30" s="340"/>
    </row>
    <row r="31" spans="1:71" s="185" customFormat="1" ht="35.1" customHeight="1">
      <c r="A31" s="181"/>
      <c r="B31" s="182">
        <v>2510</v>
      </c>
      <c r="C31" s="444" t="s">
        <v>946</v>
      </c>
      <c r="D31" s="432">
        <v>5618297</v>
      </c>
      <c r="E31" s="432"/>
      <c r="F31" s="432"/>
      <c r="G31" s="432"/>
      <c r="H31" s="432"/>
      <c r="I31" s="432"/>
      <c r="J31" s="432">
        <f t="shared" si="12"/>
        <v>0</v>
      </c>
      <c r="K31" s="432"/>
      <c r="L31" s="432"/>
      <c r="M31" s="432"/>
      <c r="N31" s="432"/>
      <c r="O31" s="432"/>
      <c r="P31" s="432"/>
      <c r="Q31" s="432"/>
      <c r="R31" s="432"/>
      <c r="S31" s="595">
        <f t="shared" si="10"/>
        <v>0</v>
      </c>
      <c r="T31" s="596"/>
      <c r="U31" s="595">
        <v>0</v>
      </c>
      <c r="V31" s="594">
        <f t="shared" si="0"/>
        <v>0</v>
      </c>
      <c r="W31" s="184"/>
      <c r="X31" s="183"/>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row>
    <row r="32" spans="1:71" s="185" customFormat="1" ht="35.1" customHeight="1">
      <c r="A32" s="181"/>
      <c r="B32" s="182">
        <v>2510</v>
      </c>
      <c r="C32" s="444" t="s">
        <v>947</v>
      </c>
      <c r="D32" s="432">
        <v>3370976</v>
      </c>
      <c r="E32" s="432"/>
      <c r="F32" s="432"/>
      <c r="G32" s="432"/>
      <c r="H32" s="432"/>
      <c r="I32" s="432"/>
      <c r="J32" s="432">
        <f t="shared" si="1"/>
        <v>0</v>
      </c>
      <c r="K32" s="432"/>
      <c r="L32" s="432"/>
      <c r="M32" s="432"/>
      <c r="N32" s="432"/>
      <c r="O32" s="432"/>
      <c r="P32" s="432"/>
      <c r="Q32" s="432"/>
      <c r="R32" s="432"/>
      <c r="S32" s="595">
        <f t="shared" si="10"/>
        <v>0</v>
      </c>
      <c r="T32" s="596"/>
      <c r="U32" s="595">
        <v>0</v>
      </c>
      <c r="V32" s="594">
        <f t="shared" si="0"/>
        <v>0</v>
      </c>
      <c r="W32" s="181"/>
      <c r="X32" s="183"/>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row>
    <row r="33" spans="1:71" s="185" customFormat="1" ht="35.1" customHeight="1">
      <c r="A33" s="181"/>
      <c r="B33" s="182">
        <v>2519</v>
      </c>
      <c r="C33" s="444" t="s">
        <v>12</v>
      </c>
      <c r="D33" s="432">
        <v>120000</v>
      </c>
      <c r="E33" s="432"/>
      <c r="F33" s="432"/>
      <c r="G33" s="432"/>
      <c r="H33" s="432"/>
      <c r="I33" s="432"/>
      <c r="J33" s="432">
        <f t="shared" si="1"/>
        <v>0</v>
      </c>
      <c r="K33" s="432"/>
      <c r="L33" s="432"/>
      <c r="M33" s="432"/>
      <c r="N33" s="432"/>
      <c r="O33" s="432"/>
      <c r="P33" s="432"/>
      <c r="Q33" s="432"/>
      <c r="R33" s="432"/>
      <c r="S33" s="595">
        <f t="shared" si="10"/>
        <v>0</v>
      </c>
      <c r="T33" s="596"/>
      <c r="U33" s="595">
        <f t="shared" ref="U33:U39" si="13">SUM(J33:R33)</f>
        <v>0</v>
      </c>
      <c r="V33" s="594">
        <f t="shared" si="0"/>
        <v>0</v>
      </c>
      <c r="W33" s="181"/>
      <c r="X33" s="183"/>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row>
    <row r="34" spans="1:71" s="185" customFormat="1" ht="35.1" customHeight="1">
      <c r="A34" s="181"/>
      <c r="B34" s="182">
        <v>5321</v>
      </c>
      <c r="C34" s="445" t="s">
        <v>948</v>
      </c>
      <c r="D34" s="432">
        <v>335000</v>
      </c>
      <c r="E34" s="432">
        <v>335000</v>
      </c>
      <c r="F34" s="432"/>
      <c r="G34" s="432"/>
      <c r="H34" s="432"/>
      <c r="I34" s="432"/>
      <c r="J34" s="432">
        <f t="shared" ref="J34" si="14">SUM(F34:I34)</f>
        <v>0</v>
      </c>
      <c r="K34" s="432"/>
      <c r="L34" s="432"/>
      <c r="M34" s="432"/>
      <c r="N34" s="432">
        <f>'3X1'!N13+'3X1'!M13</f>
        <v>335000</v>
      </c>
      <c r="O34" s="432"/>
      <c r="P34" s="432"/>
      <c r="Q34" s="432"/>
      <c r="R34" s="432"/>
      <c r="S34" s="595">
        <v>0</v>
      </c>
      <c r="T34" s="596"/>
      <c r="U34" s="432">
        <f t="shared" si="13"/>
        <v>335000</v>
      </c>
      <c r="V34" s="594">
        <f t="shared" si="0"/>
        <v>0</v>
      </c>
      <c r="W34" s="187"/>
      <c r="X34" s="183"/>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row>
    <row r="35" spans="1:71" s="185" customFormat="1" ht="35.1" customHeight="1">
      <c r="A35" s="181"/>
      <c r="B35" s="182">
        <v>5321</v>
      </c>
      <c r="C35" s="445" t="s">
        <v>949</v>
      </c>
      <c r="D35" s="432">
        <v>165000</v>
      </c>
      <c r="E35" s="432">
        <v>165000</v>
      </c>
      <c r="F35" s="432"/>
      <c r="G35" s="432"/>
      <c r="H35" s="432"/>
      <c r="I35" s="432"/>
      <c r="J35" s="432">
        <f t="shared" si="1"/>
        <v>0</v>
      </c>
      <c r="K35" s="432"/>
      <c r="L35" s="432"/>
      <c r="M35" s="432"/>
      <c r="N35" s="432">
        <f>'3X1'!P13</f>
        <v>165000</v>
      </c>
      <c r="O35" s="432"/>
      <c r="P35" s="432"/>
      <c r="Q35" s="432"/>
      <c r="R35" s="432"/>
      <c r="S35" s="595">
        <v>0</v>
      </c>
      <c r="T35" s="596"/>
      <c r="U35" s="432">
        <f t="shared" si="13"/>
        <v>165000</v>
      </c>
      <c r="V35" s="594">
        <f t="shared" si="0"/>
        <v>0</v>
      </c>
      <c r="W35" s="181"/>
      <c r="X35" s="183"/>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row>
    <row r="36" spans="1:71" s="185" customFormat="1" ht="35.1" customHeight="1">
      <c r="A36" s="181"/>
      <c r="B36" s="182">
        <v>5523</v>
      </c>
      <c r="C36" s="445" t="s">
        <v>950</v>
      </c>
      <c r="D36" s="432">
        <v>772842</v>
      </c>
      <c r="E36" s="432">
        <f>'EMPLEO TEMPORAL'!$C$8</f>
        <v>772842</v>
      </c>
      <c r="F36" s="432"/>
      <c r="G36" s="432"/>
      <c r="H36" s="432"/>
      <c r="I36" s="432"/>
      <c r="J36" s="432">
        <f t="shared" ref="J36" si="15">SUM(F36:I36)</f>
        <v>0</v>
      </c>
      <c r="K36" s="432"/>
      <c r="L36" s="432">
        <v>187677.91999999998</v>
      </c>
      <c r="M36" s="432"/>
      <c r="N36" s="432">
        <v>551058</v>
      </c>
      <c r="O36" s="432"/>
      <c r="P36" s="432"/>
      <c r="Q36" s="432"/>
      <c r="R36" s="432"/>
      <c r="S36" s="595"/>
      <c r="T36" s="596"/>
      <c r="U36" s="432">
        <f t="shared" si="13"/>
        <v>738735.91999999993</v>
      </c>
      <c r="V36" s="594">
        <f>D36-U36</f>
        <v>34106.080000000075</v>
      </c>
      <c r="W36" s="187"/>
      <c r="X36" s="183"/>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row>
    <row r="37" spans="1:71" s="185" customFormat="1" ht="48.75" customHeight="1">
      <c r="A37" s="181"/>
      <c r="B37" s="182">
        <v>5523</v>
      </c>
      <c r="C37" s="445" t="s">
        <v>1310</v>
      </c>
      <c r="D37" s="432">
        <f>46963547+198193</f>
        <v>47161740</v>
      </c>
      <c r="E37" s="432">
        <v>46963547</v>
      </c>
      <c r="F37" s="432"/>
      <c r="G37" s="432"/>
      <c r="H37" s="432"/>
      <c r="I37" s="432"/>
      <c r="J37" s="432">
        <f t="shared" si="1"/>
        <v>0</v>
      </c>
      <c r="K37" s="432"/>
      <c r="L37" s="432">
        <f>8115413.94+9585413.88+56100.06+941950.08</f>
        <v>18698877.959999997</v>
      </c>
      <c r="M37" s="432">
        <f>5474888+4859910+70000+16077007.7</f>
        <v>26481805.699999999</v>
      </c>
      <c r="N37" s="432">
        <f>452250+436500+144000+288000+432000</f>
        <v>1752750</v>
      </c>
      <c r="O37" s="432"/>
      <c r="P37" s="432"/>
      <c r="Q37" s="432"/>
      <c r="R37" s="432"/>
      <c r="S37" s="595">
        <v>0</v>
      </c>
      <c r="T37" s="596"/>
      <c r="U37" s="432">
        <f t="shared" si="13"/>
        <v>46933433.659999996</v>
      </c>
      <c r="V37" s="594">
        <f>D37-U37</f>
        <v>228306.34000000358</v>
      </c>
      <c r="W37" s="187"/>
      <c r="X37" s="183"/>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row>
    <row r="38" spans="1:71" s="185" customFormat="1" ht="35.1" customHeight="1">
      <c r="A38" s="181"/>
      <c r="B38" s="182"/>
      <c r="C38" s="445" t="s">
        <v>951</v>
      </c>
      <c r="D38" s="432">
        <v>5335955</v>
      </c>
      <c r="E38" s="432">
        <v>5335955</v>
      </c>
      <c r="F38" s="432"/>
      <c r="G38" s="432"/>
      <c r="H38" s="432"/>
      <c r="I38" s="432"/>
      <c r="J38" s="432">
        <f t="shared" ref="J38" si="16">SUM(F38:I38)</f>
        <v>0</v>
      </c>
      <c r="K38" s="432">
        <f>'FORTASEG FEDERAL'!J21</f>
        <v>5335955.01</v>
      </c>
      <c r="L38" s="432"/>
      <c r="M38" s="432"/>
      <c r="N38" s="432"/>
      <c r="O38" s="432"/>
      <c r="P38" s="432"/>
      <c r="Q38" s="432"/>
      <c r="R38" s="432"/>
      <c r="S38" s="595">
        <v>0</v>
      </c>
      <c r="T38" s="596"/>
      <c r="U38" s="432">
        <f t="shared" si="13"/>
        <v>5335955.01</v>
      </c>
      <c r="V38" s="594">
        <f>D38-K38</f>
        <v>-9.9999997764825821E-3</v>
      </c>
      <c r="W38" s="181"/>
      <c r="X38" s="183"/>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row>
    <row r="39" spans="1:71" s="185" customFormat="1" ht="35.1" customHeight="1">
      <c r="A39" s="181"/>
      <c r="B39" s="182"/>
      <c r="C39" s="444" t="s">
        <v>774</v>
      </c>
      <c r="D39" s="432">
        <v>200000</v>
      </c>
      <c r="E39" s="432"/>
      <c r="F39" s="432"/>
      <c r="G39" s="432"/>
      <c r="H39" s="432"/>
      <c r="I39" s="432"/>
      <c r="J39" s="432">
        <f t="shared" si="1"/>
        <v>0</v>
      </c>
      <c r="K39" s="432"/>
      <c r="L39" s="432"/>
      <c r="M39" s="432"/>
      <c r="N39" s="432"/>
      <c r="O39" s="432"/>
      <c r="P39" s="432"/>
      <c r="Q39" s="432"/>
      <c r="R39" s="432"/>
      <c r="S39" s="595">
        <f t="shared" si="10"/>
        <v>0</v>
      </c>
      <c r="T39" s="596"/>
      <c r="U39" s="595">
        <f t="shared" si="13"/>
        <v>0</v>
      </c>
      <c r="V39" s="594">
        <f t="shared" si="0"/>
        <v>0</v>
      </c>
      <c r="W39" s="181"/>
      <c r="X39" s="183"/>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row>
    <row r="40" spans="1:71" s="185" customFormat="1" ht="35.1" customHeight="1" thickBot="1">
      <c r="A40" s="181"/>
      <c r="C40" s="446" t="s">
        <v>808</v>
      </c>
      <c r="D40" s="447">
        <v>1500000</v>
      </c>
      <c r="E40" s="447"/>
      <c r="F40" s="448"/>
      <c r="G40" s="448"/>
      <c r="H40" s="448"/>
      <c r="I40" s="448"/>
      <c r="J40" s="448"/>
      <c r="K40" s="448"/>
      <c r="L40" s="448"/>
      <c r="M40" s="448"/>
      <c r="N40" s="448"/>
      <c r="O40" s="448"/>
      <c r="P40" s="448"/>
      <c r="Q40" s="448"/>
      <c r="R40" s="448"/>
      <c r="S40" s="598"/>
      <c r="T40" s="597"/>
      <c r="U40" s="448"/>
      <c r="V40" s="449">
        <f t="shared" si="0"/>
        <v>0</v>
      </c>
      <c r="W40" s="181"/>
      <c r="X40" s="183"/>
      <c r="Y40" s="184"/>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row>
    <row r="41" spans="1:71" s="185" customFormat="1" ht="35.1" customHeight="1" thickBot="1">
      <c r="A41" s="181"/>
      <c r="C41" s="478" t="s">
        <v>1308</v>
      </c>
      <c r="D41" s="440">
        <f t="shared" ref="D41:T41" si="17">SUM(D14:D40)</f>
        <v>1112089517.75</v>
      </c>
      <c r="E41" s="440">
        <f t="shared" si="17"/>
        <v>1068378335.45</v>
      </c>
      <c r="F41" s="440">
        <f t="shared" si="17"/>
        <v>378597614.61000001</v>
      </c>
      <c r="G41" s="441">
        <f t="shared" si="17"/>
        <v>30553406.940000005</v>
      </c>
      <c r="H41" s="441">
        <f t="shared" si="17"/>
        <v>45687465.039999999</v>
      </c>
      <c r="I41" s="441">
        <f t="shared" si="17"/>
        <v>8185218.9700000007</v>
      </c>
      <c r="J41" s="441">
        <f t="shared" si="17"/>
        <v>463023705.56</v>
      </c>
      <c r="K41" s="441">
        <f t="shared" si="17"/>
        <v>448460207.49000001</v>
      </c>
      <c r="L41" s="441">
        <f t="shared" si="17"/>
        <v>18967002.639999997</v>
      </c>
      <c r="M41" s="441">
        <f t="shared" si="17"/>
        <v>30426137.009999998</v>
      </c>
      <c r="N41" s="441">
        <f t="shared" si="17"/>
        <v>58715079.629999995</v>
      </c>
      <c r="O41" s="441">
        <f t="shared" si="17"/>
        <v>4720229.4800000004</v>
      </c>
      <c r="P41" s="441">
        <f t="shared" si="17"/>
        <v>42747093.390000001</v>
      </c>
      <c r="Q41" s="441">
        <f t="shared" si="17"/>
        <v>725192.79</v>
      </c>
      <c r="R41" s="441">
        <f t="shared" si="17"/>
        <v>163737.09</v>
      </c>
      <c r="S41" s="441">
        <f t="shared" si="17"/>
        <v>463803336.35999995</v>
      </c>
      <c r="T41" s="441">
        <f t="shared" si="17"/>
        <v>163737.09</v>
      </c>
      <c r="U41" s="441">
        <f>SUM(U14:U40)</f>
        <v>604035749.63999999</v>
      </c>
      <c r="V41" s="441">
        <f>SUM(V14:V40)</f>
        <v>1207783.6999999797</v>
      </c>
      <c r="W41" s="181"/>
      <c r="X41" s="183"/>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row>
    <row r="42" spans="1:71" s="185" customFormat="1" ht="35.1" customHeight="1" thickTop="1">
      <c r="A42" s="181"/>
      <c r="C42" s="478"/>
      <c r="D42" s="451"/>
      <c r="E42" s="451"/>
      <c r="F42" s="451"/>
      <c r="G42" s="452"/>
      <c r="H42" s="452"/>
      <c r="I42" s="452"/>
      <c r="J42" s="452"/>
      <c r="K42" s="452"/>
      <c r="L42" s="452"/>
      <c r="M42" s="452"/>
      <c r="N42" s="452"/>
      <c r="O42" s="452"/>
      <c r="P42" s="452"/>
      <c r="Q42" s="452"/>
      <c r="R42" s="452"/>
      <c r="S42" s="452"/>
      <c r="T42" s="452"/>
      <c r="U42" s="452"/>
      <c r="V42" s="454"/>
      <c r="W42" s="181"/>
      <c r="X42" s="183"/>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row>
    <row r="43" spans="1:71" s="185" customFormat="1" ht="35.1" customHeight="1">
      <c r="A43" s="181"/>
      <c r="C43" s="190"/>
      <c r="D43" s="451"/>
      <c r="E43" s="451"/>
      <c r="F43" s="451"/>
      <c r="G43" s="452"/>
      <c r="H43" s="452"/>
      <c r="I43" s="452"/>
      <c r="J43" s="452"/>
      <c r="K43" s="452"/>
      <c r="L43" s="452"/>
      <c r="M43" s="452"/>
      <c r="N43" s="452"/>
      <c r="O43" s="452"/>
      <c r="P43" s="452"/>
      <c r="Q43" s="452"/>
      <c r="R43" s="452"/>
      <c r="S43" s="452"/>
      <c r="T43" s="452"/>
      <c r="U43" s="452"/>
      <c r="V43" s="452"/>
      <c r="W43" s="181"/>
      <c r="X43" s="183"/>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row>
    <row r="44" spans="1:71" ht="35.1" customHeight="1" thickBot="1">
      <c r="C44" s="450"/>
      <c r="D44" s="191"/>
      <c r="E44" s="472"/>
      <c r="F44" s="191"/>
      <c r="G44" s="191"/>
      <c r="H44" s="191">
        <v>98530602.810000002</v>
      </c>
      <c r="I44" s="191"/>
      <c r="J44" s="191">
        <v>463748897.73000002</v>
      </c>
      <c r="K44" s="191"/>
      <c r="L44" s="191"/>
      <c r="M44" s="191"/>
      <c r="N44" s="191"/>
      <c r="O44" s="191"/>
      <c r="P44" s="191"/>
      <c r="Q44" s="191"/>
      <c r="R44" s="191"/>
      <c r="S44" s="470"/>
      <c r="T44" s="453"/>
      <c r="U44" s="453"/>
      <c r="V44" s="459"/>
    </row>
    <row r="45" spans="1:71" ht="21" thickTop="1">
      <c r="C45" s="455" t="s">
        <v>952</v>
      </c>
      <c r="D45" s="456"/>
      <c r="E45" s="457"/>
      <c r="F45" s="456"/>
      <c r="G45" s="456"/>
      <c r="H45" s="191">
        <f>98942241.67</f>
        <v>98942241.670000002</v>
      </c>
      <c r="I45" s="456"/>
      <c r="J45" s="456"/>
      <c r="K45" s="456"/>
      <c r="L45" s="456"/>
      <c r="M45" s="456"/>
      <c r="N45" s="456"/>
      <c r="O45" s="456"/>
      <c r="P45" s="456"/>
      <c r="Q45" s="456"/>
      <c r="R45" s="456"/>
      <c r="S45" s="648" t="s">
        <v>180</v>
      </c>
      <c r="T45" s="648"/>
      <c r="U45" s="648"/>
      <c r="V45" s="459"/>
    </row>
    <row r="46" spans="1:71" ht="15.75" customHeight="1">
      <c r="A46"/>
      <c r="C46" s="455" t="s">
        <v>8</v>
      </c>
      <c r="D46" s="457"/>
      <c r="E46" s="457"/>
      <c r="F46" s="456"/>
      <c r="G46" s="456"/>
      <c r="H46" s="456"/>
      <c r="I46" s="456"/>
      <c r="J46" s="456">
        <f>J41-J44</f>
        <v>-725192.17000001669</v>
      </c>
      <c r="K46" s="456"/>
      <c r="L46" s="456"/>
      <c r="M46" s="456"/>
      <c r="N46" s="456"/>
      <c r="O46" s="456"/>
      <c r="P46" s="456"/>
      <c r="Q46" s="456"/>
      <c r="R46" s="456"/>
      <c r="S46" s="628" t="s">
        <v>953</v>
      </c>
      <c r="T46" s="628"/>
      <c r="U46" s="628"/>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row>
    <row r="47" spans="1:71" ht="20.25">
      <c r="C47" s="458"/>
      <c r="D47" s="456"/>
      <c r="E47" s="473"/>
      <c r="F47" s="456"/>
      <c r="G47" s="456"/>
      <c r="H47" s="456">
        <f>H45-H44</f>
        <v>411638.8599999994</v>
      </c>
      <c r="I47" s="456"/>
      <c r="J47" s="456"/>
      <c r="K47" s="456"/>
      <c r="L47" s="456"/>
      <c r="M47" s="456"/>
      <c r="N47" s="456"/>
      <c r="O47" s="456"/>
      <c r="P47" s="456"/>
      <c r="Q47" s="456"/>
      <c r="R47" s="456"/>
      <c r="S47" s="628"/>
      <c r="T47" s="628"/>
      <c r="U47" s="628"/>
    </row>
    <row r="48" spans="1:71">
      <c r="C48" s="112"/>
      <c r="D48" s="113"/>
      <c r="E48" s="112"/>
      <c r="F48" s="113"/>
      <c r="G48" s="113"/>
      <c r="H48" s="113"/>
      <c r="I48" s="113"/>
      <c r="J48" s="113"/>
      <c r="K48" s="113"/>
      <c r="L48" s="113"/>
      <c r="M48" s="113"/>
      <c r="N48" s="113"/>
      <c r="O48" s="113"/>
      <c r="P48" s="113"/>
      <c r="Q48" s="113"/>
      <c r="R48" s="113"/>
      <c r="S48" s="113"/>
      <c r="T48" s="113"/>
      <c r="U48" s="113"/>
    </row>
    <row r="49" spans="3:23" hidden="1">
      <c r="C49" s="112"/>
      <c r="D49" s="112"/>
      <c r="E49" s="112"/>
      <c r="F49" s="113"/>
      <c r="G49" s="113"/>
      <c r="H49" s="113"/>
      <c r="I49" s="113"/>
      <c r="J49" s="113"/>
      <c r="K49" s="113"/>
      <c r="L49" s="113"/>
      <c r="M49" s="113"/>
      <c r="N49" s="631"/>
      <c r="O49" s="631"/>
      <c r="P49" s="631"/>
      <c r="Q49" s="631"/>
      <c r="R49" s="631"/>
      <c r="S49" s="113"/>
      <c r="T49" s="113"/>
      <c r="U49" s="113"/>
    </row>
    <row r="50" spans="3:23" ht="15.75" hidden="1">
      <c r="C50" s="630"/>
      <c r="D50" s="630"/>
      <c r="E50" s="112"/>
      <c r="F50" s="113"/>
      <c r="G50" s="113"/>
      <c r="H50" s="113"/>
      <c r="I50" s="113"/>
      <c r="J50" s="113"/>
      <c r="K50" s="113"/>
      <c r="L50" s="113"/>
      <c r="M50" s="135"/>
      <c r="N50" s="632" t="s">
        <v>180</v>
      </c>
      <c r="O50" s="632"/>
      <c r="P50" s="632"/>
      <c r="Q50" s="632"/>
      <c r="R50" s="632"/>
      <c r="S50" s="632"/>
      <c r="T50" s="632"/>
      <c r="U50" s="632"/>
    </row>
    <row r="51" spans="3:23" ht="15" hidden="1" customHeight="1">
      <c r="C51" s="630"/>
      <c r="D51" s="630"/>
      <c r="E51" s="112"/>
      <c r="F51" s="113"/>
      <c r="G51" s="113"/>
      <c r="H51" s="113"/>
      <c r="I51" s="113"/>
      <c r="J51" s="113"/>
      <c r="K51" s="113"/>
      <c r="L51" s="113"/>
      <c r="M51" s="136"/>
      <c r="N51" s="629" t="s">
        <v>181</v>
      </c>
      <c r="O51" s="629"/>
      <c r="P51" s="629"/>
      <c r="Q51" s="629"/>
      <c r="R51" s="629"/>
      <c r="S51" s="629"/>
      <c r="T51" s="629"/>
      <c r="U51" s="629"/>
    </row>
    <row r="52" spans="3:23" hidden="1">
      <c r="C52" s="112"/>
      <c r="D52" s="112"/>
      <c r="E52" s="112"/>
      <c r="F52" s="113"/>
      <c r="G52" s="113"/>
      <c r="H52" s="113"/>
      <c r="I52" s="113"/>
      <c r="J52" s="113"/>
      <c r="K52" s="113"/>
      <c r="L52" s="113"/>
      <c r="M52" s="136"/>
      <c r="N52" s="629"/>
      <c r="O52" s="629"/>
      <c r="P52" s="629"/>
      <c r="Q52" s="629"/>
      <c r="R52" s="629"/>
      <c r="S52" s="629"/>
      <c r="T52" s="629"/>
      <c r="U52" s="629"/>
    </row>
    <row r="53" spans="3:23">
      <c r="C53" s="115"/>
      <c r="D53" s="113"/>
      <c r="E53" s="112"/>
      <c r="F53" s="113"/>
      <c r="G53" s="113"/>
      <c r="H53" s="113"/>
      <c r="I53" s="113"/>
      <c r="J53" s="113"/>
      <c r="K53" s="113"/>
      <c r="L53" s="113"/>
      <c r="M53" s="113"/>
      <c r="N53" s="113"/>
      <c r="O53" s="113"/>
      <c r="P53" s="113"/>
      <c r="Q53" s="113"/>
      <c r="R53" s="113"/>
      <c r="S53" s="113"/>
      <c r="T53" s="113"/>
      <c r="U53" s="113"/>
      <c r="W53" s="477"/>
    </row>
    <row r="54" spans="3:23">
      <c r="C54" s="112"/>
      <c r="D54" s="113"/>
      <c r="E54" s="112"/>
      <c r="F54" s="113"/>
      <c r="G54" s="113"/>
      <c r="H54" s="113"/>
      <c r="I54" s="113"/>
      <c r="J54" s="113"/>
      <c r="K54" s="113"/>
      <c r="L54" s="113"/>
      <c r="M54" s="113"/>
      <c r="N54" s="113"/>
      <c r="O54" s="113"/>
      <c r="P54" s="113"/>
      <c r="Q54" s="113"/>
      <c r="R54" s="113"/>
      <c r="S54" s="113"/>
      <c r="T54" s="113"/>
      <c r="U54" s="113"/>
    </row>
    <row r="55" spans="3:23">
      <c r="C55" s="112"/>
      <c r="D55" s="113"/>
      <c r="E55" s="112"/>
      <c r="F55" s="113"/>
      <c r="G55" s="113"/>
      <c r="H55" s="113"/>
      <c r="I55" s="113"/>
      <c r="J55" s="113"/>
      <c r="K55" s="113"/>
      <c r="L55" s="113"/>
      <c r="M55" s="113"/>
      <c r="N55" s="113"/>
      <c r="O55" s="115"/>
      <c r="P55" s="115"/>
      <c r="Q55" s="115"/>
      <c r="R55" s="115"/>
      <c r="S55" s="113"/>
      <c r="T55" s="113"/>
      <c r="U55" s="113"/>
    </row>
    <row r="56" spans="3:23">
      <c r="C56" s="112"/>
      <c r="D56" s="114"/>
      <c r="E56" s="112"/>
      <c r="F56" s="113"/>
      <c r="G56" s="113"/>
      <c r="H56" s="113"/>
      <c r="I56" s="113"/>
      <c r="J56" s="113"/>
      <c r="K56" s="113"/>
      <c r="L56" s="113"/>
      <c r="M56" s="113"/>
      <c r="N56" s="113"/>
      <c r="O56" s="113"/>
      <c r="P56" s="113"/>
      <c r="Q56" s="113"/>
      <c r="R56" s="113"/>
      <c r="S56" s="113"/>
      <c r="T56" s="113"/>
      <c r="U56" s="113"/>
    </row>
    <row r="57" spans="3:23">
      <c r="D57" s="59"/>
      <c r="K57" s="117"/>
      <c r="L57" s="117"/>
      <c r="M57" s="117"/>
      <c r="N57" s="118"/>
      <c r="O57" s="118"/>
      <c r="P57" s="118"/>
      <c r="Q57" s="118"/>
    </row>
    <row r="58" spans="3:23">
      <c r="K58" s="117"/>
      <c r="L58" s="117"/>
      <c r="M58" s="117"/>
      <c r="N58" s="119"/>
      <c r="O58" s="118"/>
      <c r="P58" s="118"/>
      <c r="Q58" s="118"/>
    </row>
    <row r="59" spans="3:23">
      <c r="K59" s="5"/>
      <c r="L59" s="5"/>
      <c r="M59" s="5"/>
      <c r="N59" s="119"/>
      <c r="O59" s="118"/>
      <c r="P59" s="118"/>
      <c r="Q59" s="118"/>
    </row>
    <row r="60" spans="3:23">
      <c r="K60" s="5"/>
      <c r="L60" s="5"/>
      <c r="M60" s="5"/>
      <c r="N60" s="119"/>
      <c r="O60" s="118"/>
      <c r="P60" s="118"/>
      <c r="Q60" s="118"/>
    </row>
  </sheetData>
  <mergeCells count="31">
    <mergeCell ref="S46:U47"/>
    <mergeCell ref="C7:V7"/>
    <mergeCell ref="N51:U52"/>
    <mergeCell ref="C51:D51"/>
    <mergeCell ref="N49:R49"/>
    <mergeCell ref="N50:U50"/>
    <mergeCell ref="C50:D50"/>
    <mergeCell ref="Q10:Q12"/>
    <mergeCell ref="V10:V12"/>
    <mergeCell ref="P11:P12"/>
    <mergeCell ref="R10:R12"/>
    <mergeCell ref="G11:I11"/>
    <mergeCell ref="S10:U10"/>
    <mergeCell ref="S45:U45"/>
    <mergeCell ref="S11:S12"/>
    <mergeCell ref="C9:V9"/>
    <mergeCell ref="C4:V4"/>
    <mergeCell ref="C5:V5"/>
    <mergeCell ref="C6:V6"/>
    <mergeCell ref="B10:B12"/>
    <mergeCell ref="C10:C12"/>
    <mergeCell ref="K11:K12"/>
    <mergeCell ref="L11:L12"/>
    <mergeCell ref="M11:M12"/>
    <mergeCell ref="N11:N12"/>
    <mergeCell ref="O11:O12"/>
    <mergeCell ref="F10:J10"/>
    <mergeCell ref="D10:E11"/>
    <mergeCell ref="F11:F12"/>
    <mergeCell ref="J11:J12"/>
    <mergeCell ref="K10:P10"/>
  </mergeCells>
  <printOptions horizontalCentered="1" verticalCentered="1"/>
  <pageMargins left="0.19685039370078741" right="0.19685039370078741" top="0" bottom="0" header="0.31496062992125984" footer="0.31496062992125984"/>
  <pageSetup scale="40" orientation="landscape"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Y111"/>
  <sheetViews>
    <sheetView workbookViewId="0">
      <selection activeCell="F7" sqref="F7"/>
    </sheetView>
  </sheetViews>
  <sheetFormatPr baseColWidth="10" defaultRowHeight="15"/>
  <cols>
    <col min="3" max="3" width="18" customWidth="1"/>
    <col min="4" max="4" width="11.42578125" hidden="1" customWidth="1"/>
    <col min="5" max="5" width="8.85546875" customWidth="1"/>
    <col min="6" max="6" width="42.5703125" customWidth="1"/>
    <col min="7" max="7" width="14.42578125" bestFit="1" customWidth="1"/>
    <col min="8" max="8" width="15.85546875" hidden="1" customWidth="1"/>
    <col min="9" max="9" width="14.85546875" bestFit="1" customWidth="1"/>
    <col min="10" max="10" width="14.85546875" hidden="1" customWidth="1"/>
    <col min="11" max="11" width="8.140625" customWidth="1"/>
    <col min="12" max="12" width="12.140625" hidden="1" customWidth="1"/>
    <col min="13" max="13" width="16.140625" hidden="1" customWidth="1"/>
    <col min="14" max="14" width="12.85546875" customWidth="1"/>
    <col min="15" max="15" width="9.85546875" style="484" customWidth="1"/>
    <col min="16" max="16" width="8.140625" style="484" customWidth="1"/>
    <col min="17" max="17" width="7.5703125" customWidth="1"/>
    <col min="18" max="18" width="10.7109375" customWidth="1"/>
    <col min="19" max="19" width="8.28515625" customWidth="1"/>
    <col min="20" max="20" width="11.28515625" customWidth="1"/>
    <col min="21" max="21" width="13.7109375" customWidth="1"/>
    <col min="23" max="23" width="16.28515625" customWidth="1"/>
    <col min="24" max="24" width="16.140625" customWidth="1"/>
  </cols>
  <sheetData>
    <row r="2" spans="1:25" ht="24.75" customHeight="1">
      <c r="A2" s="607"/>
      <c r="B2" s="607"/>
      <c r="C2" s="794" t="s">
        <v>1317</v>
      </c>
      <c r="D2" s="794"/>
      <c r="E2" s="794"/>
      <c r="F2" s="794"/>
      <c r="G2" s="794"/>
      <c r="H2" s="794"/>
      <c r="I2" s="794"/>
      <c r="J2" s="794"/>
      <c r="K2" s="794"/>
      <c r="L2" s="794"/>
      <c r="M2" s="794"/>
      <c r="N2" s="794"/>
      <c r="O2" s="794"/>
      <c r="P2" s="794"/>
      <c r="Q2" s="794"/>
      <c r="R2" s="794"/>
      <c r="S2" s="794"/>
      <c r="T2" s="794"/>
      <c r="U2" s="794"/>
      <c r="V2" s="794"/>
      <c r="W2" s="794"/>
      <c r="X2" s="794"/>
      <c r="Y2" s="13"/>
    </row>
    <row r="3" spans="1:25" ht="20.25" customHeight="1">
      <c r="A3" s="607"/>
      <c r="B3" s="607"/>
      <c r="C3" s="785" t="s">
        <v>1322</v>
      </c>
      <c r="D3" s="785"/>
      <c r="E3" s="785"/>
      <c r="F3" s="785"/>
      <c r="G3" s="785"/>
      <c r="H3" s="785"/>
      <c r="I3" s="785"/>
      <c r="J3" s="785"/>
      <c r="K3" s="785"/>
      <c r="L3" s="785"/>
      <c r="M3" s="785"/>
      <c r="N3" s="785"/>
      <c r="O3" s="785"/>
      <c r="P3" s="785"/>
      <c r="Q3" s="785"/>
      <c r="R3" s="785"/>
      <c r="S3" s="785"/>
      <c r="T3" s="785"/>
      <c r="U3" s="785"/>
      <c r="V3" s="785"/>
      <c r="W3" s="785"/>
      <c r="X3" s="785"/>
      <c r="Y3" s="13"/>
    </row>
    <row r="4" spans="1:25" ht="21" customHeight="1">
      <c r="A4" s="607"/>
      <c r="B4" s="607"/>
      <c r="C4" s="784" t="s">
        <v>1035</v>
      </c>
      <c r="D4" s="784"/>
      <c r="E4" s="784"/>
      <c r="F4" s="784"/>
      <c r="G4" s="784"/>
      <c r="H4" s="784"/>
      <c r="I4" s="784"/>
      <c r="J4" s="784"/>
      <c r="K4" s="784"/>
      <c r="L4" s="784"/>
      <c r="M4" s="784"/>
      <c r="N4" s="784"/>
      <c r="O4" s="784"/>
      <c r="P4" s="784"/>
      <c r="Q4" s="784"/>
      <c r="R4" s="784"/>
      <c r="S4" s="784"/>
      <c r="T4" s="784"/>
      <c r="U4" s="784"/>
      <c r="V4" s="784"/>
      <c r="W4" s="784"/>
      <c r="X4" s="784"/>
      <c r="Y4" s="13"/>
    </row>
    <row r="5" spans="1:25" ht="23.25" customHeight="1">
      <c r="A5" s="607"/>
      <c r="B5" s="607"/>
      <c r="C5" s="784" t="s">
        <v>470</v>
      </c>
      <c r="D5" s="784"/>
      <c r="E5" s="784"/>
      <c r="F5" s="784"/>
      <c r="G5" s="784"/>
      <c r="H5" s="784"/>
      <c r="I5" s="784"/>
      <c r="J5" s="784"/>
      <c r="K5" s="784"/>
      <c r="L5" s="784"/>
      <c r="M5" s="784"/>
      <c r="N5" s="784"/>
      <c r="O5" s="784"/>
      <c r="P5" s="784"/>
      <c r="Q5" s="784"/>
      <c r="R5" s="784"/>
      <c r="S5" s="784"/>
      <c r="T5" s="784"/>
      <c r="U5" s="784"/>
      <c r="V5" s="784"/>
      <c r="W5" s="784"/>
      <c r="X5" s="784"/>
      <c r="Y5" s="13"/>
    </row>
    <row r="6" spans="1:25" ht="18.75">
      <c r="A6" s="607"/>
      <c r="B6" s="607"/>
      <c r="C6" s="731" t="s">
        <v>469</v>
      </c>
      <c r="D6" s="731"/>
      <c r="E6" s="731"/>
      <c r="F6" s="731"/>
      <c r="G6" s="731"/>
      <c r="H6" s="731"/>
      <c r="I6" s="731"/>
      <c r="J6" s="731"/>
      <c r="K6" s="731"/>
      <c r="L6" s="731"/>
      <c r="M6" s="731"/>
      <c r="N6" s="731"/>
      <c r="O6" s="731"/>
      <c r="P6" s="731"/>
      <c r="Q6" s="731"/>
      <c r="R6" s="731"/>
      <c r="S6" s="731"/>
      <c r="T6" s="731"/>
      <c r="U6" s="731"/>
      <c r="V6" s="731"/>
      <c r="W6" s="731"/>
      <c r="X6" s="731"/>
    </row>
    <row r="7" spans="1:25" ht="20.100000000000001" customHeight="1" thickBot="1">
      <c r="K7" s="786" t="s">
        <v>1318</v>
      </c>
      <c r="L7" s="786"/>
      <c r="M7" s="786"/>
      <c r="N7" s="786"/>
      <c r="O7" s="786"/>
      <c r="P7" s="786"/>
      <c r="Q7" s="786"/>
    </row>
    <row r="8" spans="1:25" ht="20.100000000000001" customHeight="1">
      <c r="A8" s="732" t="s">
        <v>92</v>
      </c>
      <c r="B8" s="733"/>
      <c r="C8" s="296">
        <v>122479482</v>
      </c>
      <c r="D8" s="15"/>
      <c r="E8" s="161"/>
      <c r="F8" s="483"/>
      <c r="K8" s="13"/>
      <c r="M8" s="13"/>
      <c r="N8" s="13"/>
      <c r="Q8" s="13"/>
    </row>
    <row r="9" spans="1:25" ht="20.100000000000001" customHeight="1">
      <c r="A9" s="736" t="s">
        <v>1191</v>
      </c>
      <c r="B9" s="737"/>
      <c r="C9" s="297">
        <v>124629</v>
      </c>
      <c r="D9" s="15"/>
      <c r="E9" s="161"/>
      <c r="G9" s="479"/>
      <c r="H9" s="479"/>
      <c r="I9" s="479"/>
      <c r="J9" s="479"/>
      <c r="K9" s="479"/>
      <c r="L9" s="479"/>
      <c r="M9" s="479"/>
      <c r="N9" s="479"/>
      <c r="Q9" s="479"/>
      <c r="R9" s="479"/>
      <c r="S9" s="479"/>
    </row>
    <row r="10" spans="1:25" ht="20.100000000000001" customHeight="1">
      <c r="A10" s="734" t="s">
        <v>842</v>
      </c>
      <c r="B10" s="735"/>
      <c r="C10" s="297">
        <f>G98</f>
        <v>121966440.71999998</v>
      </c>
      <c r="D10" s="15"/>
      <c r="E10" s="161"/>
      <c r="G10" s="152"/>
      <c r="H10" s="152"/>
      <c r="I10" s="152"/>
      <c r="J10" s="152"/>
      <c r="K10" s="152"/>
      <c r="L10" s="152"/>
      <c r="M10" s="152"/>
      <c r="N10" s="152"/>
      <c r="Q10" s="152"/>
      <c r="R10" s="152"/>
      <c r="S10" s="152"/>
    </row>
    <row r="11" spans="1:25" ht="20.100000000000001" customHeight="1">
      <c r="A11" s="734" t="s">
        <v>5</v>
      </c>
      <c r="B11" s="735"/>
      <c r="C11" s="297">
        <f>I98</f>
        <v>121966439.47999997</v>
      </c>
      <c r="D11" s="15"/>
      <c r="E11" s="161"/>
      <c r="F11" s="483"/>
      <c r="G11" s="152"/>
      <c r="H11" s="152"/>
      <c r="I11" s="152"/>
      <c r="J11" s="152"/>
      <c r="K11" s="152"/>
      <c r="L11" s="152"/>
      <c r="M11" s="152"/>
      <c r="N11" s="152"/>
      <c r="Q11" s="152"/>
      <c r="R11" s="152"/>
      <c r="S11" s="152"/>
      <c r="W11" s="16"/>
      <c r="X11" s="160"/>
    </row>
    <row r="12" spans="1:25" ht="15" customHeight="1" thickBot="1">
      <c r="A12" s="729" t="s">
        <v>13</v>
      </c>
      <c r="B12" s="730"/>
      <c r="C12" s="298">
        <f>C10-C11</f>
        <v>1.2400000095367432</v>
      </c>
      <c r="F12" s="483"/>
      <c r="O12" s="179"/>
      <c r="P12" s="179"/>
      <c r="S12" s="13"/>
      <c r="W12" s="16"/>
      <c r="X12" s="160"/>
    </row>
    <row r="13" spans="1:25" ht="18.75">
      <c r="A13" s="179"/>
      <c r="B13" s="179"/>
      <c r="O13" s="179"/>
      <c r="P13" s="179"/>
      <c r="S13" s="13"/>
      <c r="W13" s="16"/>
      <c r="X13" s="481" t="s">
        <v>1039</v>
      </c>
    </row>
    <row r="14" spans="1:25" ht="27.75" customHeight="1" thickBot="1">
      <c r="M14" s="62"/>
      <c r="N14" s="62"/>
      <c r="Q14" s="13"/>
      <c r="U14" s="16"/>
      <c r="V14" s="486"/>
      <c r="W14" s="58"/>
      <c r="X14" s="58"/>
    </row>
    <row r="15" spans="1:25" ht="24.75" customHeight="1" thickTop="1" thickBot="1">
      <c r="A15" s="63"/>
      <c r="B15" s="63"/>
      <c r="C15" s="63"/>
      <c r="D15" s="63"/>
      <c r="E15" s="63"/>
      <c r="F15" s="63"/>
      <c r="G15" s="738" t="s">
        <v>14</v>
      </c>
      <c r="H15" s="739"/>
      <c r="I15" s="490" t="s">
        <v>15</v>
      </c>
      <c r="J15" s="489"/>
      <c r="K15" s="740" t="s">
        <v>16</v>
      </c>
      <c r="L15" s="741"/>
      <c r="M15" s="491" t="s">
        <v>410</v>
      </c>
      <c r="N15" s="68"/>
      <c r="O15" s="69"/>
      <c r="P15" s="69"/>
      <c r="Q15" s="58"/>
      <c r="R15" s="58"/>
      <c r="S15" s="58"/>
      <c r="T15" s="69"/>
      <c r="U15" s="58"/>
      <c r="V15" s="58"/>
      <c r="W15" s="71" t="s">
        <v>31</v>
      </c>
      <c r="X15" s="74" t="s">
        <v>32</v>
      </c>
    </row>
    <row r="16" spans="1:25" s="189" customFormat="1" ht="54.75" customHeight="1" thickTop="1" thickBot="1">
      <c r="A16" s="70" t="s">
        <v>17</v>
      </c>
      <c r="B16" s="71" t="s">
        <v>18</v>
      </c>
      <c r="C16" s="71" t="s">
        <v>19</v>
      </c>
      <c r="D16" s="71" t="s">
        <v>93</v>
      </c>
      <c r="E16" s="71" t="s">
        <v>94</v>
      </c>
      <c r="F16" s="71" t="s">
        <v>22</v>
      </c>
      <c r="G16" s="73" t="s">
        <v>23</v>
      </c>
      <c r="H16" s="73" t="s">
        <v>395</v>
      </c>
      <c r="I16" s="73" t="s">
        <v>23</v>
      </c>
      <c r="J16" s="73" t="s">
        <v>395</v>
      </c>
      <c r="K16" s="73" t="s">
        <v>23</v>
      </c>
      <c r="L16" s="73" t="s">
        <v>95</v>
      </c>
      <c r="M16" s="73" t="s">
        <v>410</v>
      </c>
      <c r="N16" s="71" t="s">
        <v>25</v>
      </c>
      <c r="O16" s="71" t="s">
        <v>96</v>
      </c>
      <c r="P16" s="71" t="s">
        <v>97</v>
      </c>
      <c r="Q16" s="669" t="s">
        <v>28</v>
      </c>
      <c r="R16" s="670"/>
      <c r="S16" s="71" t="s">
        <v>29</v>
      </c>
      <c r="T16" s="71" t="s">
        <v>98</v>
      </c>
      <c r="U16" s="71" t="s">
        <v>31</v>
      </c>
      <c r="V16" s="74" t="s">
        <v>32</v>
      </c>
      <c r="W16" s="223" t="s">
        <v>691</v>
      </c>
      <c r="X16" s="223" t="s">
        <v>692</v>
      </c>
    </row>
    <row r="17" spans="1:24" s="189" customFormat="1" ht="54.75" customHeight="1">
      <c r="A17" s="221" t="s">
        <v>411</v>
      </c>
      <c r="B17" s="222">
        <v>43208</v>
      </c>
      <c r="C17" s="223" t="s">
        <v>689</v>
      </c>
      <c r="D17" s="224" t="s">
        <v>101</v>
      </c>
      <c r="E17" s="272" t="s">
        <v>412</v>
      </c>
      <c r="F17" s="273" t="s">
        <v>1085</v>
      </c>
      <c r="G17" s="215">
        <f t="shared" ref="G17:G96" si="0">H17</f>
        <v>526758.43999999994</v>
      </c>
      <c r="H17" s="461">
        <v>526758.43999999994</v>
      </c>
      <c r="I17" s="215">
        <f t="shared" ref="I17:I96" si="1">J17</f>
        <v>526758.43999999994</v>
      </c>
      <c r="J17" s="215">
        <f>158027.53+154524.54+159270.67+54935.7</f>
        <v>526758.43999999994</v>
      </c>
      <c r="K17" s="288">
        <f>G17-I17</f>
        <v>0</v>
      </c>
      <c r="L17" s="462">
        <v>0</v>
      </c>
      <c r="M17" s="462">
        <f t="shared" ref="M17:M48" si="2">I17+L17</f>
        <v>526758.43999999994</v>
      </c>
      <c r="N17" s="229" t="s">
        <v>104</v>
      </c>
      <c r="O17" s="474">
        <f>I17/G17</f>
        <v>1</v>
      </c>
      <c r="P17" s="474">
        <f>J17/H17</f>
        <v>1</v>
      </c>
      <c r="Q17" s="231" t="s">
        <v>413</v>
      </c>
      <c r="R17" s="274">
        <v>540</v>
      </c>
      <c r="S17" s="233" t="s">
        <v>414</v>
      </c>
      <c r="T17" s="223" t="s">
        <v>690</v>
      </c>
      <c r="U17" s="223" t="s">
        <v>691</v>
      </c>
      <c r="V17" s="223" t="s">
        <v>692</v>
      </c>
      <c r="W17" s="223" t="s">
        <v>39</v>
      </c>
      <c r="X17" s="223" t="s">
        <v>1290</v>
      </c>
    </row>
    <row r="18" spans="1:24" s="189" customFormat="1" ht="54.75" customHeight="1">
      <c r="A18" s="221" t="s">
        <v>411</v>
      </c>
      <c r="B18" s="222">
        <v>43342</v>
      </c>
      <c r="C18" s="223" t="s">
        <v>693</v>
      </c>
      <c r="D18" s="224"/>
      <c r="E18" s="272" t="s">
        <v>694</v>
      </c>
      <c r="F18" s="273" t="s">
        <v>829</v>
      </c>
      <c r="G18" s="215">
        <f t="shared" si="0"/>
        <v>0</v>
      </c>
      <c r="H18" s="461">
        <v>0</v>
      </c>
      <c r="I18" s="215">
        <f t="shared" si="1"/>
        <v>0</v>
      </c>
      <c r="J18" s="215">
        <v>0</v>
      </c>
      <c r="K18" s="289">
        <f>G18-I18-L18</f>
        <v>0</v>
      </c>
      <c r="L18" s="289">
        <v>0</v>
      </c>
      <c r="M18" s="463">
        <f t="shared" si="2"/>
        <v>0</v>
      </c>
      <c r="N18" s="229" t="s">
        <v>104</v>
      </c>
      <c r="O18" s="559" t="s">
        <v>39</v>
      </c>
      <c r="P18" s="559">
        <v>0</v>
      </c>
      <c r="Q18" s="231" t="s">
        <v>413</v>
      </c>
      <c r="R18" s="274">
        <v>383.8</v>
      </c>
      <c r="S18" s="233" t="s">
        <v>422</v>
      </c>
      <c r="T18" s="223" t="s">
        <v>1294</v>
      </c>
      <c r="U18" s="223" t="s">
        <v>1290</v>
      </c>
      <c r="V18" s="223" t="s">
        <v>1294</v>
      </c>
      <c r="W18" s="223" t="s">
        <v>696</v>
      </c>
      <c r="X18" s="223" t="s">
        <v>697</v>
      </c>
    </row>
    <row r="19" spans="1:24" s="189" customFormat="1" ht="54.75" customHeight="1">
      <c r="A19" s="221" t="s">
        <v>411</v>
      </c>
      <c r="B19" s="222">
        <v>43208</v>
      </c>
      <c r="C19" s="223" t="s">
        <v>1086</v>
      </c>
      <c r="D19" s="224" t="s">
        <v>101</v>
      </c>
      <c r="E19" s="272" t="s">
        <v>415</v>
      </c>
      <c r="F19" s="273" t="s">
        <v>695</v>
      </c>
      <c r="G19" s="215">
        <f t="shared" si="0"/>
        <v>1202364.06</v>
      </c>
      <c r="H19" s="461">
        <v>1202364.06</v>
      </c>
      <c r="I19" s="215">
        <f t="shared" si="1"/>
        <v>1202364.05</v>
      </c>
      <c r="J19" s="215">
        <f>360709.22+335987.14+361745.63+143922.06</f>
        <v>1202364.05</v>
      </c>
      <c r="K19" s="289">
        <f>G19-I19-L19</f>
        <v>1.0000000009313226E-2</v>
      </c>
      <c r="L19" s="289">
        <v>0</v>
      </c>
      <c r="M19" s="463">
        <f t="shared" si="2"/>
        <v>1202364.05</v>
      </c>
      <c r="N19" s="229" t="s">
        <v>104</v>
      </c>
      <c r="O19" s="474">
        <f t="shared" ref="O19:O50" si="3">I19/G19</f>
        <v>0.99999999168305143</v>
      </c>
      <c r="P19" s="474">
        <f t="shared" ref="P19:P50" si="4">J19/H19</f>
        <v>0.99999999168305143</v>
      </c>
      <c r="Q19" s="231" t="s">
        <v>413</v>
      </c>
      <c r="R19" s="274">
        <v>617.45000000000005</v>
      </c>
      <c r="S19" s="233" t="s">
        <v>416</v>
      </c>
      <c r="T19" s="223" t="s">
        <v>118</v>
      </c>
      <c r="U19" s="223" t="s">
        <v>696</v>
      </c>
      <c r="V19" s="223" t="s">
        <v>697</v>
      </c>
      <c r="W19" s="223" t="s">
        <v>700</v>
      </c>
      <c r="X19" s="223" t="s">
        <v>701</v>
      </c>
    </row>
    <row r="20" spans="1:24" s="189" customFormat="1" ht="54.75" customHeight="1">
      <c r="A20" s="221" t="s">
        <v>411</v>
      </c>
      <c r="B20" s="222">
        <v>43208</v>
      </c>
      <c r="C20" s="223" t="s">
        <v>698</v>
      </c>
      <c r="D20" s="224" t="s">
        <v>417</v>
      </c>
      <c r="E20" s="272" t="s">
        <v>830</v>
      </c>
      <c r="F20" s="273" t="s">
        <v>699</v>
      </c>
      <c r="G20" s="215">
        <f t="shared" si="0"/>
        <v>165336.45000000001</v>
      </c>
      <c r="H20" s="461">
        <v>165336.45000000001</v>
      </c>
      <c r="I20" s="215">
        <f t="shared" si="1"/>
        <v>165336.44999999998</v>
      </c>
      <c r="J20" s="215">
        <f>49600.94+95736.61+19998.9</f>
        <v>165336.44999999998</v>
      </c>
      <c r="K20" s="289">
        <f t="shared" ref="K20:K51" si="5">G20-I20</f>
        <v>0</v>
      </c>
      <c r="L20" s="464">
        <v>0</v>
      </c>
      <c r="M20" s="465">
        <f t="shared" si="2"/>
        <v>165336.44999999998</v>
      </c>
      <c r="N20" s="229" t="s">
        <v>104</v>
      </c>
      <c r="O20" s="474">
        <f t="shared" si="3"/>
        <v>0.99999999999999978</v>
      </c>
      <c r="P20" s="474">
        <f t="shared" si="4"/>
        <v>0.99999999999999978</v>
      </c>
      <c r="Q20" s="231" t="s">
        <v>413</v>
      </c>
      <c r="R20" s="274">
        <v>174</v>
      </c>
      <c r="S20" s="233" t="s">
        <v>255</v>
      </c>
      <c r="T20" s="223" t="s">
        <v>690</v>
      </c>
      <c r="U20" s="223" t="s">
        <v>700</v>
      </c>
      <c r="V20" s="223" t="s">
        <v>701</v>
      </c>
      <c r="W20" s="223" t="s">
        <v>961</v>
      </c>
      <c r="X20" s="223" t="s">
        <v>962</v>
      </c>
    </row>
    <row r="21" spans="1:24" s="189" customFormat="1" ht="54.75" customHeight="1">
      <c r="A21" s="221" t="s">
        <v>411</v>
      </c>
      <c r="B21" s="222">
        <v>43343</v>
      </c>
      <c r="C21" s="223" t="s">
        <v>1087</v>
      </c>
      <c r="D21" s="224"/>
      <c r="E21" s="272" t="s">
        <v>702</v>
      </c>
      <c r="F21" s="273" t="s">
        <v>903</v>
      </c>
      <c r="G21" s="215">
        <f t="shared" si="0"/>
        <v>2877395.74</v>
      </c>
      <c r="H21" s="461">
        <v>2877395.74</v>
      </c>
      <c r="I21" s="215">
        <f t="shared" si="1"/>
        <v>2877395.7199999997</v>
      </c>
      <c r="J21" s="215">
        <f>683939.74+2193455.98</f>
        <v>2877395.7199999997</v>
      </c>
      <c r="K21" s="289">
        <f t="shared" si="5"/>
        <v>2.0000000484287739E-2</v>
      </c>
      <c r="L21" s="464">
        <v>0</v>
      </c>
      <c r="M21" s="465">
        <f t="shared" si="2"/>
        <v>2877395.7199999997</v>
      </c>
      <c r="N21" s="229" t="s">
        <v>104</v>
      </c>
      <c r="O21" s="474">
        <f t="shared" si="3"/>
        <v>0.99999999304927012</v>
      </c>
      <c r="P21" s="474">
        <f t="shared" si="4"/>
        <v>0.99999999304927012</v>
      </c>
      <c r="Q21" s="231" t="s">
        <v>413</v>
      </c>
      <c r="R21" s="274">
        <v>654.23</v>
      </c>
      <c r="S21" s="233" t="s">
        <v>703</v>
      </c>
      <c r="T21" s="223" t="s">
        <v>543</v>
      </c>
      <c r="U21" s="223" t="s">
        <v>961</v>
      </c>
      <c r="V21" s="223" t="s">
        <v>962</v>
      </c>
      <c r="W21" s="223" t="s">
        <v>705</v>
      </c>
      <c r="X21" s="223" t="s">
        <v>706</v>
      </c>
    </row>
    <row r="22" spans="1:24" s="189" customFormat="1" ht="54.75" customHeight="1">
      <c r="A22" s="221" t="s">
        <v>411</v>
      </c>
      <c r="B22" s="222">
        <v>43208</v>
      </c>
      <c r="C22" s="223" t="s">
        <v>1088</v>
      </c>
      <c r="D22" s="224" t="s">
        <v>101</v>
      </c>
      <c r="E22" s="272" t="s">
        <v>418</v>
      </c>
      <c r="F22" s="273" t="s">
        <v>704</v>
      </c>
      <c r="G22" s="215">
        <f t="shared" si="0"/>
        <v>885872.68</v>
      </c>
      <c r="H22" s="461">
        <v>885872.68</v>
      </c>
      <c r="I22" s="215">
        <f t="shared" si="1"/>
        <v>885872.66999999993</v>
      </c>
      <c r="J22" s="215">
        <f>265761.8+375640.42+244470.45</f>
        <v>885872.66999999993</v>
      </c>
      <c r="K22" s="289">
        <f t="shared" si="5"/>
        <v>1.0000000125728548E-2</v>
      </c>
      <c r="L22" s="462">
        <v>0</v>
      </c>
      <c r="M22" s="466">
        <f t="shared" si="2"/>
        <v>885872.66999999993</v>
      </c>
      <c r="N22" s="229" t="s">
        <v>104</v>
      </c>
      <c r="O22" s="474">
        <f t="shared" si="3"/>
        <v>0.99999998871169604</v>
      </c>
      <c r="P22" s="474">
        <f t="shared" si="4"/>
        <v>0.99999998871169604</v>
      </c>
      <c r="Q22" s="231" t="s">
        <v>413</v>
      </c>
      <c r="R22" s="274">
        <v>412.34</v>
      </c>
      <c r="S22" s="233" t="s">
        <v>419</v>
      </c>
      <c r="T22" s="223" t="s">
        <v>118</v>
      </c>
      <c r="U22" s="223" t="s">
        <v>705</v>
      </c>
      <c r="V22" s="223" t="s">
        <v>706</v>
      </c>
      <c r="W22" s="223" t="s">
        <v>708</v>
      </c>
      <c r="X22" s="223" t="s">
        <v>709</v>
      </c>
    </row>
    <row r="23" spans="1:24" s="189" customFormat="1" ht="54.75" customHeight="1">
      <c r="A23" s="221" t="s">
        <v>411</v>
      </c>
      <c r="B23" s="222">
        <v>43208</v>
      </c>
      <c r="C23" s="223" t="s">
        <v>1089</v>
      </c>
      <c r="D23" s="224" t="s">
        <v>420</v>
      </c>
      <c r="E23" s="272" t="s">
        <v>421</v>
      </c>
      <c r="F23" s="273" t="s">
        <v>707</v>
      </c>
      <c r="G23" s="215">
        <f t="shared" si="0"/>
        <v>1552433.83</v>
      </c>
      <c r="H23" s="461">
        <v>1552433.83</v>
      </c>
      <c r="I23" s="215">
        <f t="shared" si="1"/>
        <v>1552433.8199999998</v>
      </c>
      <c r="J23" s="215">
        <f>404982.74+473140.93+297551.98+376758.17</f>
        <v>1552433.8199999998</v>
      </c>
      <c r="K23" s="289">
        <f t="shared" si="5"/>
        <v>1.0000000242143869E-2</v>
      </c>
      <c r="L23" s="462">
        <v>0</v>
      </c>
      <c r="M23" s="462">
        <f t="shared" si="2"/>
        <v>1552433.8199999998</v>
      </c>
      <c r="N23" s="229" t="s">
        <v>104</v>
      </c>
      <c r="O23" s="474">
        <f t="shared" si="3"/>
        <v>0.99999999355850144</v>
      </c>
      <c r="P23" s="474">
        <f t="shared" si="4"/>
        <v>0.99999999355850144</v>
      </c>
      <c r="Q23" s="231" t="s">
        <v>413</v>
      </c>
      <c r="R23" s="274">
        <v>546.70000000000005</v>
      </c>
      <c r="S23" s="233" t="s">
        <v>422</v>
      </c>
      <c r="T23" s="223" t="s">
        <v>118</v>
      </c>
      <c r="U23" s="223" t="s">
        <v>708</v>
      </c>
      <c r="V23" s="223" t="s">
        <v>709</v>
      </c>
      <c r="W23" s="223" t="s">
        <v>963</v>
      </c>
      <c r="X23" s="223" t="s">
        <v>964</v>
      </c>
    </row>
    <row r="24" spans="1:24" s="189" customFormat="1" ht="54.75" customHeight="1">
      <c r="A24" s="221" t="s">
        <v>411</v>
      </c>
      <c r="B24" s="222">
        <v>43385</v>
      </c>
      <c r="C24" s="223" t="s">
        <v>1090</v>
      </c>
      <c r="D24" s="224"/>
      <c r="E24" s="272" t="s">
        <v>904</v>
      </c>
      <c r="F24" s="273" t="s">
        <v>1091</v>
      </c>
      <c r="G24" s="215">
        <f t="shared" si="0"/>
        <v>1009675.29</v>
      </c>
      <c r="H24" s="461">
        <v>1009675.29</v>
      </c>
      <c r="I24" s="215">
        <f t="shared" si="1"/>
        <v>1009675.29</v>
      </c>
      <c r="J24" s="215">
        <f>504837.65+504837.64</f>
        <v>1009675.29</v>
      </c>
      <c r="K24" s="289">
        <f t="shared" si="5"/>
        <v>0</v>
      </c>
      <c r="L24" s="462">
        <v>0</v>
      </c>
      <c r="M24" s="462">
        <f t="shared" si="2"/>
        <v>1009675.29</v>
      </c>
      <c r="N24" s="229" t="s">
        <v>104</v>
      </c>
      <c r="O24" s="474">
        <f t="shared" si="3"/>
        <v>1</v>
      </c>
      <c r="P24" s="474">
        <f t="shared" si="4"/>
        <v>1</v>
      </c>
      <c r="Q24" s="231" t="s">
        <v>413</v>
      </c>
      <c r="R24" s="274">
        <v>769</v>
      </c>
      <c r="S24" s="233" t="s">
        <v>403</v>
      </c>
      <c r="T24" s="223" t="s">
        <v>118</v>
      </c>
      <c r="U24" s="223" t="s">
        <v>963</v>
      </c>
      <c r="V24" s="223" t="s">
        <v>964</v>
      </c>
      <c r="W24" s="223" t="s">
        <v>712</v>
      </c>
      <c r="X24" s="223" t="s">
        <v>713</v>
      </c>
    </row>
    <row r="25" spans="1:24" s="189" customFormat="1" ht="54.75" customHeight="1">
      <c r="A25" s="221" t="s">
        <v>411</v>
      </c>
      <c r="B25" s="222">
        <v>43208</v>
      </c>
      <c r="C25" s="223" t="s">
        <v>710</v>
      </c>
      <c r="D25" s="224" t="s">
        <v>101</v>
      </c>
      <c r="E25" s="272" t="s">
        <v>423</v>
      </c>
      <c r="F25" s="273" t="s">
        <v>711</v>
      </c>
      <c r="G25" s="215">
        <f t="shared" si="0"/>
        <v>817528.13</v>
      </c>
      <c r="H25" s="461">
        <v>817528.13</v>
      </c>
      <c r="I25" s="215">
        <f t="shared" si="1"/>
        <v>817528.13</v>
      </c>
      <c r="J25" s="215">
        <f>207748.82+459038.04+150741.27</f>
        <v>817528.13</v>
      </c>
      <c r="K25" s="289">
        <f t="shared" si="5"/>
        <v>0</v>
      </c>
      <c r="L25" s="462">
        <v>0</v>
      </c>
      <c r="M25" s="462">
        <f t="shared" si="2"/>
        <v>817528.13</v>
      </c>
      <c r="N25" s="229" t="s">
        <v>104</v>
      </c>
      <c r="O25" s="474">
        <f t="shared" si="3"/>
        <v>1</v>
      </c>
      <c r="P25" s="474">
        <f t="shared" si="4"/>
        <v>1</v>
      </c>
      <c r="Q25" s="231" t="s">
        <v>413</v>
      </c>
      <c r="R25" s="274">
        <v>292.33</v>
      </c>
      <c r="S25" s="233" t="s">
        <v>424</v>
      </c>
      <c r="T25" s="223" t="s">
        <v>690</v>
      </c>
      <c r="U25" s="223" t="s">
        <v>712</v>
      </c>
      <c r="V25" s="223" t="s">
        <v>713</v>
      </c>
      <c r="W25" s="223" t="s">
        <v>544</v>
      </c>
      <c r="X25" s="223" t="s">
        <v>545</v>
      </c>
    </row>
    <row r="26" spans="1:24" s="189" customFormat="1" ht="54.75" customHeight="1">
      <c r="A26" s="221" t="s">
        <v>411</v>
      </c>
      <c r="B26" s="250">
        <v>43208</v>
      </c>
      <c r="C26" s="223" t="s">
        <v>1092</v>
      </c>
      <c r="D26" s="224" t="s">
        <v>101</v>
      </c>
      <c r="E26" s="272" t="s">
        <v>425</v>
      </c>
      <c r="F26" s="273" t="s">
        <v>714</v>
      </c>
      <c r="G26" s="215">
        <f t="shared" si="0"/>
        <v>2182281.0099999998</v>
      </c>
      <c r="H26" s="467">
        <v>2182281.0099999998</v>
      </c>
      <c r="I26" s="215">
        <f t="shared" si="1"/>
        <v>2182280.9900000002</v>
      </c>
      <c r="J26" s="210">
        <f>654684.3+181169.41+140506.79+708743.61+364691.78+132485.1</f>
        <v>2182280.9900000002</v>
      </c>
      <c r="K26" s="289">
        <f t="shared" si="5"/>
        <v>1.9999999552965164E-2</v>
      </c>
      <c r="L26" s="462">
        <v>0</v>
      </c>
      <c r="M26" s="462">
        <f t="shared" si="2"/>
        <v>2182280.9900000002</v>
      </c>
      <c r="N26" s="229" t="s">
        <v>104</v>
      </c>
      <c r="O26" s="474">
        <f t="shared" si="3"/>
        <v>0.99999999083527769</v>
      </c>
      <c r="P26" s="474">
        <f t="shared" si="4"/>
        <v>0.99999999083527769</v>
      </c>
      <c r="Q26" s="231" t="s">
        <v>413</v>
      </c>
      <c r="R26" s="274">
        <v>1364.18</v>
      </c>
      <c r="S26" s="233" t="s">
        <v>426</v>
      </c>
      <c r="T26" s="223" t="s">
        <v>543</v>
      </c>
      <c r="U26" s="223" t="s">
        <v>544</v>
      </c>
      <c r="V26" s="223" t="s">
        <v>545</v>
      </c>
      <c r="W26" s="223" t="s">
        <v>546</v>
      </c>
      <c r="X26" s="223" t="s">
        <v>547</v>
      </c>
    </row>
    <row r="27" spans="1:24" s="189" customFormat="1" ht="54.75" customHeight="1">
      <c r="A27" s="221" t="s">
        <v>411</v>
      </c>
      <c r="B27" s="250">
        <v>43208</v>
      </c>
      <c r="C27" s="223" t="s">
        <v>1093</v>
      </c>
      <c r="D27" s="224" t="s">
        <v>101</v>
      </c>
      <c r="E27" s="272" t="s">
        <v>427</v>
      </c>
      <c r="F27" s="273" t="s">
        <v>715</v>
      </c>
      <c r="G27" s="215">
        <f t="shared" si="0"/>
        <v>1782498.3</v>
      </c>
      <c r="H27" s="467">
        <v>1782498.3</v>
      </c>
      <c r="I27" s="215">
        <f t="shared" si="1"/>
        <v>1782498.31</v>
      </c>
      <c r="J27" s="210">
        <f>464999.58+262013.7+647907.16+150797.85+256780.02</f>
        <v>1782498.31</v>
      </c>
      <c r="K27" s="289">
        <f t="shared" si="5"/>
        <v>-1.0000000009313226E-2</v>
      </c>
      <c r="L27" s="462">
        <v>0</v>
      </c>
      <c r="M27" s="462">
        <f t="shared" si="2"/>
        <v>1782498.31</v>
      </c>
      <c r="N27" s="229" t="s">
        <v>104</v>
      </c>
      <c r="O27" s="474">
        <f t="shared" si="3"/>
        <v>1.0000000056101035</v>
      </c>
      <c r="P27" s="474">
        <f t="shared" si="4"/>
        <v>1.0000000056101035</v>
      </c>
      <c r="Q27" s="231" t="s">
        <v>413</v>
      </c>
      <c r="R27" s="274">
        <v>722.93</v>
      </c>
      <c r="S27" s="233" t="s">
        <v>428</v>
      </c>
      <c r="T27" s="223" t="s">
        <v>118</v>
      </c>
      <c r="U27" s="223" t="s">
        <v>546</v>
      </c>
      <c r="V27" s="223" t="s">
        <v>547</v>
      </c>
      <c r="W27" s="223" t="s">
        <v>364</v>
      </c>
      <c r="X27" s="223" t="s">
        <v>548</v>
      </c>
    </row>
    <row r="28" spans="1:24" s="189" customFormat="1" ht="54.75" customHeight="1">
      <c r="A28" s="221" t="s">
        <v>411</v>
      </c>
      <c r="B28" s="250">
        <v>43208</v>
      </c>
      <c r="C28" s="223" t="s">
        <v>831</v>
      </c>
      <c r="D28" s="224" t="s">
        <v>101</v>
      </c>
      <c r="E28" s="272" t="s">
        <v>429</v>
      </c>
      <c r="F28" s="273" t="s">
        <v>832</v>
      </c>
      <c r="G28" s="215">
        <f t="shared" si="0"/>
        <v>2085872.48</v>
      </c>
      <c r="H28" s="467">
        <v>2085872.48</v>
      </c>
      <c r="I28" s="215">
        <f t="shared" si="1"/>
        <v>2085872.48</v>
      </c>
      <c r="J28" s="210">
        <f>544140.65+509071.14+472319.71+273948.96+252195.81+34196.21</f>
        <v>2085872.48</v>
      </c>
      <c r="K28" s="289">
        <f t="shared" si="5"/>
        <v>0</v>
      </c>
      <c r="L28" s="462">
        <v>0</v>
      </c>
      <c r="M28" s="462">
        <f t="shared" si="2"/>
        <v>2085872.48</v>
      </c>
      <c r="N28" s="229" t="s">
        <v>104</v>
      </c>
      <c r="O28" s="474">
        <f t="shared" si="3"/>
        <v>1</v>
      </c>
      <c r="P28" s="474">
        <f t="shared" si="4"/>
        <v>1</v>
      </c>
      <c r="Q28" s="231" t="s">
        <v>413</v>
      </c>
      <c r="R28" s="274">
        <v>1126.21</v>
      </c>
      <c r="S28" s="233" t="s">
        <v>430</v>
      </c>
      <c r="T28" s="223" t="s">
        <v>543</v>
      </c>
      <c r="U28" s="223" t="s">
        <v>364</v>
      </c>
      <c r="V28" s="223" t="s">
        <v>548</v>
      </c>
      <c r="W28" s="223" t="s">
        <v>549</v>
      </c>
      <c r="X28" s="223" t="s">
        <v>550</v>
      </c>
    </row>
    <row r="29" spans="1:24" s="189" customFormat="1" ht="54.75" customHeight="1">
      <c r="A29" s="221" t="s">
        <v>411</v>
      </c>
      <c r="B29" s="250">
        <v>43208</v>
      </c>
      <c r="C29" s="223" t="s">
        <v>1094</v>
      </c>
      <c r="D29" s="224" t="s">
        <v>101</v>
      </c>
      <c r="E29" s="272" t="s">
        <v>431</v>
      </c>
      <c r="F29" s="273" t="s">
        <v>716</v>
      </c>
      <c r="G29" s="215">
        <f t="shared" si="0"/>
        <v>3527881.48</v>
      </c>
      <c r="H29" s="467">
        <v>3527881.48</v>
      </c>
      <c r="I29" s="215">
        <f t="shared" si="1"/>
        <v>3527881.48</v>
      </c>
      <c r="J29" s="210">
        <f>920316.91+795124.39+1812440.18</f>
        <v>3527881.48</v>
      </c>
      <c r="K29" s="289">
        <f t="shared" si="5"/>
        <v>0</v>
      </c>
      <c r="L29" s="462">
        <v>0</v>
      </c>
      <c r="M29" s="462">
        <f t="shared" si="2"/>
        <v>3527881.48</v>
      </c>
      <c r="N29" s="229" t="s">
        <v>104</v>
      </c>
      <c r="O29" s="474">
        <f t="shared" si="3"/>
        <v>1</v>
      </c>
      <c r="P29" s="474">
        <f t="shared" si="4"/>
        <v>1</v>
      </c>
      <c r="Q29" s="231" t="s">
        <v>413</v>
      </c>
      <c r="R29" s="274">
        <v>2091.46</v>
      </c>
      <c r="S29" s="233" t="s">
        <v>432</v>
      </c>
      <c r="T29" s="223" t="s">
        <v>543</v>
      </c>
      <c r="U29" s="223" t="s">
        <v>549</v>
      </c>
      <c r="V29" s="223" t="s">
        <v>550</v>
      </c>
      <c r="W29" s="223" t="s">
        <v>551</v>
      </c>
      <c r="X29" s="223" t="s">
        <v>552</v>
      </c>
    </row>
    <row r="30" spans="1:24" s="189" customFormat="1" ht="54.75" customHeight="1">
      <c r="A30" s="221" t="s">
        <v>411</v>
      </c>
      <c r="B30" s="250">
        <v>43208</v>
      </c>
      <c r="C30" s="223" t="s">
        <v>1095</v>
      </c>
      <c r="D30" s="224" t="s">
        <v>101</v>
      </c>
      <c r="E30" s="272" t="s">
        <v>433</v>
      </c>
      <c r="F30" s="273" t="s">
        <v>717</v>
      </c>
      <c r="G30" s="215">
        <f t="shared" si="0"/>
        <v>2071843.16</v>
      </c>
      <c r="H30" s="467">
        <v>2071843.16</v>
      </c>
      <c r="I30" s="215">
        <f t="shared" si="1"/>
        <v>2071843.09</v>
      </c>
      <c r="J30" s="210">
        <f>540480.83+126273.22+271215.92+268191.53+736437.53+129244.06</f>
        <v>2071843.09</v>
      </c>
      <c r="K30" s="289">
        <f t="shared" si="5"/>
        <v>6.9999999832361937E-2</v>
      </c>
      <c r="L30" s="462">
        <v>0</v>
      </c>
      <c r="M30" s="462">
        <f t="shared" si="2"/>
        <v>2071843.09</v>
      </c>
      <c r="N30" s="229" t="s">
        <v>104</v>
      </c>
      <c r="O30" s="474">
        <f t="shared" si="3"/>
        <v>0.99999996621365883</v>
      </c>
      <c r="P30" s="474">
        <f t="shared" si="4"/>
        <v>0.99999996621365883</v>
      </c>
      <c r="Q30" s="231" t="s">
        <v>413</v>
      </c>
      <c r="R30" s="274">
        <v>1064.69</v>
      </c>
      <c r="S30" s="233" t="s">
        <v>434</v>
      </c>
      <c r="T30" s="223" t="s">
        <v>543</v>
      </c>
      <c r="U30" s="223" t="s">
        <v>551</v>
      </c>
      <c r="V30" s="223" t="s">
        <v>552</v>
      </c>
      <c r="W30" s="223" t="s">
        <v>720</v>
      </c>
      <c r="X30" s="223" t="s">
        <v>721</v>
      </c>
    </row>
    <row r="31" spans="1:24" s="189" customFormat="1" ht="54.75" customHeight="1">
      <c r="A31" s="221" t="s">
        <v>411</v>
      </c>
      <c r="B31" s="250">
        <v>43230</v>
      </c>
      <c r="C31" s="223" t="s">
        <v>718</v>
      </c>
      <c r="D31" s="224" t="s">
        <v>101</v>
      </c>
      <c r="E31" s="272" t="s">
        <v>435</v>
      </c>
      <c r="F31" s="273" t="s">
        <v>719</v>
      </c>
      <c r="G31" s="215">
        <f t="shared" si="0"/>
        <v>147878.24</v>
      </c>
      <c r="H31" s="467">
        <v>147878.24</v>
      </c>
      <c r="I31" s="215">
        <f t="shared" si="1"/>
        <v>147878.24</v>
      </c>
      <c r="J31" s="210">
        <f>44363.47+83533.92+19980.85</f>
        <v>147878.24</v>
      </c>
      <c r="K31" s="289">
        <f t="shared" si="5"/>
        <v>0</v>
      </c>
      <c r="L31" s="462">
        <v>0</v>
      </c>
      <c r="M31" s="462">
        <f t="shared" si="2"/>
        <v>147878.24</v>
      </c>
      <c r="N31" s="229" t="s">
        <v>104</v>
      </c>
      <c r="O31" s="474">
        <f t="shared" si="3"/>
        <v>1</v>
      </c>
      <c r="P31" s="474">
        <f t="shared" si="4"/>
        <v>1</v>
      </c>
      <c r="Q31" s="231" t="s">
        <v>413</v>
      </c>
      <c r="R31" s="274">
        <v>100.54</v>
      </c>
      <c r="S31" s="233" t="s">
        <v>251</v>
      </c>
      <c r="T31" s="223" t="s">
        <v>690</v>
      </c>
      <c r="U31" s="223" t="s">
        <v>720</v>
      </c>
      <c r="V31" s="223" t="s">
        <v>721</v>
      </c>
      <c r="W31" s="223" t="s">
        <v>720</v>
      </c>
      <c r="X31" s="223" t="s">
        <v>724</v>
      </c>
    </row>
    <row r="32" spans="1:24" s="189" customFormat="1" ht="54.75" customHeight="1">
      <c r="A32" s="221" t="s">
        <v>411</v>
      </c>
      <c r="B32" s="250">
        <v>43230</v>
      </c>
      <c r="C32" s="223" t="s">
        <v>722</v>
      </c>
      <c r="D32" s="224" t="s">
        <v>436</v>
      </c>
      <c r="E32" s="272" t="s">
        <v>437</v>
      </c>
      <c r="F32" s="273" t="s">
        <v>723</v>
      </c>
      <c r="G32" s="215">
        <f t="shared" si="0"/>
        <v>65808</v>
      </c>
      <c r="H32" s="467">
        <v>65808</v>
      </c>
      <c r="I32" s="215">
        <f t="shared" si="1"/>
        <v>65807.540000000008</v>
      </c>
      <c r="J32" s="464">
        <f>19748.19+30972.24+15087.11</f>
        <v>65807.540000000008</v>
      </c>
      <c r="K32" s="289">
        <f t="shared" si="5"/>
        <v>0.45999999999185093</v>
      </c>
      <c r="L32" s="462">
        <v>0</v>
      </c>
      <c r="M32" s="462">
        <f t="shared" si="2"/>
        <v>65807.540000000008</v>
      </c>
      <c r="N32" s="229" t="s">
        <v>104</v>
      </c>
      <c r="O32" s="474">
        <f t="shared" si="3"/>
        <v>0.99999300996839302</v>
      </c>
      <c r="P32" s="474">
        <f t="shared" si="4"/>
        <v>0.99999300996839302</v>
      </c>
      <c r="Q32" s="231" t="s">
        <v>413</v>
      </c>
      <c r="R32" s="274">
        <v>75</v>
      </c>
      <c r="S32" s="233" t="s">
        <v>251</v>
      </c>
      <c r="T32" s="223" t="s">
        <v>690</v>
      </c>
      <c r="U32" s="223" t="s">
        <v>720</v>
      </c>
      <c r="V32" s="223" t="s">
        <v>724</v>
      </c>
      <c r="W32" s="223" t="s">
        <v>725</v>
      </c>
      <c r="X32" s="223" t="s">
        <v>726</v>
      </c>
    </row>
    <row r="33" spans="1:24" s="189" customFormat="1" ht="54.75" customHeight="1">
      <c r="A33" s="221" t="s">
        <v>438</v>
      </c>
      <c r="B33" s="250">
        <v>43237</v>
      </c>
      <c r="C33" s="223" t="s">
        <v>1096</v>
      </c>
      <c r="D33" s="224" t="s">
        <v>436</v>
      </c>
      <c r="E33" s="272" t="s">
        <v>439</v>
      </c>
      <c r="F33" s="273" t="s">
        <v>1097</v>
      </c>
      <c r="G33" s="215">
        <f t="shared" si="0"/>
        <v>2648447.19</v>
      </c>
      <c r="H33" s="467">
        <v>2648447.19</v>
      </c>
      <c r="I33" s="215">
        <f t="shared" si="1"/>
        <v>2648447.19</v>
      </c>
      <c r="J33" s="464">
        <f>749893.29+169216.21+673384.57+1055953.12</f>
        <v>2648447.19</v>
      </c>
      <c r="K33" s="289">
        <f t="shared" si="5"/>
        <v>0</v>
      </c>
      <c r="L33" s="462">
        <v>0</v>
      </c>
      <c r="M33" s="462">
        <f t="shared" si="2"/>
        <v>2648447.19</v>
      </c>
      <c r="N33" s="229" t="s">
        <v>104</v>
      </c>
      <c r="O33" s="474">
        <f t="shared" si="3"/>
        <v>1</v>
      </c>
      <c r="P33" s="474">
        <f t="shared" si="4"/>
        <v>1</v>
      </c>
      <c r="Q33" s="231" t="s">
        <v>37</v>
      </c>
      <c r="R33" s="274">
        <v>1</v>
      </c>
      <c r="S33" s="233" t="s">
        <v>117</v>
      </c>
      <c r="T33" s="223" t="s">
        <v>118</v>
      </c>
      <c r="U33" s="223" t="s">
        <v>725</v>
      </c>
      <c r="V33" s="223" t="s">
        <v>726</v>
      </c>
      <c r="W33" s="223" t="s">
        <v>727</v>
      </c>
      <c r="X33" s="223" t="s">
        <v>728</v>
      </c>
    </row>
    <row r="34" spans="1:24" s="189" customFormat="1" ht="54.75" customHeight="1">
      <c r="A34" s="221" t="s">
        <v>438</v>
      </c>
      <c r="B34" s="250">
        <v>43237</v>
      </c>
      <c r="C34" s="223" t="s">
        <v>1098</v>
      </c>
      <c r="D34" s="224" t="s">
        <v>436</v>
      </c>
      <c r="E34" s="272" t="s">
        <v>440</v>
      </c>
      <c r="F34" s="273" t="s">
        <v>1099</v>
      </c>
      <c r="G34" s="215">
        <f t="shared" si="0"/>
        <v>1617028.68</v>
      </c>
      <c r="H34" s="467">
        <v>1617028.68</v>
      </c>
      <c r="I34" s="215">
        <f t="shared" si="1"/>
        <v>1617028.6799999997</v>
      </c>
      <c r="J34" s="464">
        <f>464790.13+454629.07+386885.89+215341.63+95381.96</f>
        <v>1617028.6799999997</v>
      </c>
      <c r="K34" s="289">
        <f t="shared" si="5"/>
        <v>0</v>
      </c>
      <c r="L34" s="462">
        <v>0</v>
      </c>
      <c r="M34" s="462">
        <f t="shared" si="2"/>
        <v>1617028.6799999997</v>
      </c>
      <c r="N34" s="229" t="s">
        <v>104</v>
      </c>
      <c r="O34" s="474">
        <f t="shared" si="3"/>
        <v>0.99999999999999989</v>
      </c>
      <c r="P34" s="474">
        <f t="shared" si="4"/>
        <v>0.99999999999999989</v>
      </c>
      <c r="Q34" s="231" t="s">
        <v>37</v>
      </c>
      <c r="R34" s="274">
        <v>1</v>
      </c>
      <c r="S34" s="233" t="s">
        <v>117</v>
      </c>
      <c r="T34" s="223" t="s">
        <v>118</v>
      </c>
      <c r="U34" s="223" t="s">
        <v>727</v>
      </c>
      <c r="V34" s="223" t="s">
        <v>728</v>
      </c>
      <c r="W34" s="223" t="s">
        <v>730</v>
      </c>
      <c r="X34" s="223" t="s">
        <v>731</v>
      </c>
    </row>
    <row r="35" spans="1:24" s="189" customFormat="1" ht="54.75" customHeight="1">
      <c r="A35" s="221" t="s">
        <v>438</v>
      </c>
      <c r="B35" s="250">
        <v>43237</v>
      </c>
      <c r="C35" s="223" t="s">
        <v>1100</v>
      </c>
      <c r="D35" s="224" t="s">
        <v>436</v>
      </c>
      <c r="E35" s="272" t="s">
        <v>441</v>
      </c>
      <c r="F35" s="273" t="s">
        <v>1101</v>
      </c>
      <c r="G35" s="215">
        <f t="shared" si="0"/>
        <v>5866486.3899999997</v>
      </c>
      <c r="H35" s="467">
        <v>5866486.3899999997</v>
      </c>
      <c r="I35" s="215">
        <f t="shared" si="1"/>
        <v>5866486.1999999993</v>
      </c>
      <c r="J35" s="464">
        <f>1582434.25+821856.24+474316.9+1308420.28+848240.19+831218.34</f>
        <v>5866486.1999999993</v>
      </c>
      <c r="K35" s="289">
        <f t="shared" si="5"/>
        <v>0.19000000040978193</v>
      </c>
      <c r="L35" s="462">
        <v>0</v>
      </c>
      <c r="M35" s="462">
        <f t="shared" si="2"/>
        <v>5866486.1999999993</v>
      </c>
      <c r="N35" s="229" t="s">
        <v>104</v>
      </c>
      <c r="O35" s="474">
        <f t="shared" si="3"/>
        <v>0.99999996761264109</v>
      </c>
      <c r="P35" s="474">
        <f t="shared" si="4"/>
        <v>0.99999996761264109</v>
      </c>
      <c r="Q35" s="231" t="s">
        <v>37</v>
      </c>
      <c r="R35" s="274">
        <v>1</v>
      </c>
      <c r="S35" s="233" t="s">
        <v>117</v>
      </c>
      <c r="T35" s="223" t="s">
        <v>729</v>
      </c>
      <c r="U35" s="223" t="s">
        <v>730</v>
      </c>
      <c r="V35" s="223" t="s">
        <v>731</v>
      </c>
      <c r="W35" s="223" t="s">
        <v>733</v>
      </c>
      <c r="X35" s="223" t="s">
        <v>734</v>
      </c>
    </row>
    <row r="36" spans="1:24" s="189" customFormat="1" ht="54.75" customHeight="1">
      <c r="A36" s="221" t="s">
        <v>411</v>
      </c>
      <c r="B36" s="250">
        <v>43251</v>
      </c>
      <c r="C36" s="223" t="s">
        <v>1102</v>
      </c>
      <c r="D36" s="224"/>
      <c r="E36" s="272" t="s">
        <v>442</v>
      </c>
      <c r="F36" s="273" t="s">
        <v>732</v>
      </c>
      <c r="G36" s="215">
        <f t="shared" si="0"/>
        <v>224847.79</v>
      </c>
      <c r="H36" s="467">
        <v>224847.79</v>
      </c>
      <c r="I36" s="215">
        <f t="shared" si="1"/>
        <v>224847.78999999998</v>
      </c>
      <c r="J36" s="464">
        <f>67454.34+97210.64+60182.81</f>
        <v>224847.78999999998</v>
      </c>
      <c r="K36" s="289">
        <f t="shared" si="5"/>
        <v>0</v>
      </c>
      <c r="L36" s="462">
        <v>0</v>
      </c>
      <c r="M36" s="462">
        <f t="shared" si="2"/>
        <v>224847.78999999998</v>
      </c>
      <c r="N36" s="229" t="s">
        <v>104</v>
      </c>
      <c r="O36" s="474">
        <f t="shared" si="3"/>
        <v>0.99999999999999989</v>
      </c>
      <c r="P36" s="474">
        <f t="shared" si="4"/>
        <v>0.99999999999999989</v>
      </c>
      <c r="Q36" s="231" t="s">
        <v>413</v>
      </c>
      <c r="R36" s="274">
        <v>138</v>
      </c>
      <c r="S36" s="233" t="s">
        <v>424</v>
      </c>
      <c r="T36" s="223" t="s">
        <v>690</v>
      </c>
      <c r="U36" s="223" t="s">
        <v>733</v>
      </c>
      <c r="V36" s="223" t="s">
        <v>734</v>
      </c>
      <c r="W36" s="223" t="s">
        <v>573</v>
      </c>
      <c r="X36" s="223" t="s">
        <v>965</v>
      </c>
    </row>
    <row r="37" spans="1:24" s="189" customFormat="1" ht="54.75" customHeight="1">
      <c r="A37" s="221" t="s">
        <v>411</v>
      </c>
      <c r="B37" s="250">
        <v>43251</v>
      </c>
      <c r="C37" s="223" t="s">
        <v>1103</v>
      </c>
      <c r="D37" s="224"/>
      <c r="E37" s="272" t="s">
        <v>443</v>
      </c>
      <c r="F37" s="273" t="s">
        <v>905</v>
      </c>
      <c r="G37" s="215">
        <f t="shared" si="0"/>
        <v>123945.29</v>
      </c>
      <c r="H37" s="467">
        <v>123945.29</v>
      </c>
      <c r="I37" s="215">
        <f t="shared" si="1"/>
        <v>123945.26999999999</v>
      </c>
      <c r="J37" s="464">
        <f>83024.5+40920.77</f>
        <v>123945.26999999999</v>
      </c>
      <c r="K37" s="289">
        <f t="shared" si="5"/>
        <v>2.0000000004074536E-2</v>
      </c>
      <c r="L37" s="462">
        <v>0</v>
      </c>
      <c r="M37" s="462">
        <f t="shared" si="2"/>
        <v>123945.26999999999</v>
      </c>
      <c r="N37" s="229" t="s">
        <v>104</v>
      </c>
      <c r="O37" s="474">
        <f t="shared" si="3"/>
        <v>0.99999983863848307</v>
      </c>
      <c r="P37" s="474">
        <f t="shared" si="4"/>
        <v>0.99999983863848307</v>
      </c>
      <c r="Q37" s="231" t="s">
        <v>413</v>
      </c>
      <c r="R37" s="274">
        <v>26.5</v>
      </c>
      <c r="S37" s="233" t="s">
        <v>424</v>
      </c>
      <c r="T37" s="223" t="s">
        <v>690</v>
      </c>
      <c r="U37" s="223" t="s">
        <v>573</v>
      </c>
      <c r="V37" s="223" t="s">
        <v>965</v>
      </c>
      <c r="W37" s="223" t="s">
        <v>966</v>
      </c>
      <c r="X37" s="223" t="s">
        <v>967</v>
      </c>
    </row>
    <row r="38" spans="1:24" s="189" customFormat="1" ht="54.75" customHeight="1">
      <c r="A38" s="221" t="s">
        <v>411</v>
      </c>
      <c r="B38" s="250">
        <v>43251</v>
      </c>
      <c r="C38" s="223" t="s">
        <v>1104</v>
      </c>
      <c r="D38" s="224"/>
      <c r="E38" s="272" t="s">
        <v>444</v>
      </c>
      <c r="F38" s="273" t="s">
        <v>833</v>
      </c>
      <c r="G38" s="215">
        <f t="shared" si="0"/>
        <v>363521.5</v>
      </c>
      <c r="H38" s="467">
        <v>363521.5</v>
      </c>
      <c r="I38" s="215">
        <f t="shared" si="1"/>
        <v>363521.49000000005</v>
      </c>
      <c r="J38" s="464">
        <f>109056.45+216341.39+38123.65</f>
        <v>363521.49000000005</v>
      </c>
      <c r="K38" s="289">
        <f t="shared" si="5"/>
        <v>9.9999999511055648E-3</v>
      </c>
      <c r="L38" s="462">
        <v>0</v>
      </c>
      <c r="M38" s="462">
        <f t="shared" si="2"/>
        <v>363521.49000000005</v>
      </c>
      <c r="N38" s="229" t="s">
        <v>104</v>
      </c>
      <c r="O38" s="474">
        <f t="shared" si="3"/>
        <v>0.99999997249131078</v>
      </c>
      <c r="P38" s="474">
        <f t="shared" si="4"/>
        <v>0.99999997249131078</v>
      </c>
      <c r="Q38" s="231" t="s">
        <v>413</v>
      </c>
      <c r="R38" s="274">
        <v>214.4</v>
      </c>
      <c r="S38" s="233" t="s">
        <v>424</v>
      </c>
      <c r="T38" s="223" t="s">
        <v>690</v>
      </c>
      <c r="U38" s="223" t="s">
        <v>966</v>
      </c>
      <c r="V38" s="223" t="s">
        <v>967</v>
      </c>
      <c r="W38" s="223" t="s">
        <v>966</v>
      </c>
      <c r="X38" s="223" t="s">
        <v>968</v>
      </c>
    </row>
    <row r="39" spans="1:24" s="189" customFormat="1" ht="54.75" customHeight="1">
      <c r="A39" s="221" t="s">
        <v>411</v>
      </c>
      <c r="B39" s="250">
        <v>43251</v>
      </c>
      <c r="C39" s="223" t="s">
        <v>1105</v>
      </c>
      <c r="D39" s="224"/>
      <c r="E39" s="272" t="s">
        <v>445</v>
      </c>
      <c r="F39" s="273" t="s">
        <v>834</v>
      </c>
      <c r="G39" s="215">
        <f t="shared" si="0"/>
        <v>219796.34</v>
      </c>
      <c r="H39" s="467">
        <v>219796.34</v>
      </c>
      <c r="I39" s="215">
        <f t="shared" si="1"/>
        <v>219796.3</v>
      </c>
      <c r="J39" s="464">
        <f>65938.9+83039.12+70818.28</f>
        <v>219796.3</v>
      </c>
      <c r="K39" s="289">
        <f t="shared" si="5"/>
        <v>4.0000000008149073E-2</v>
      </c>
      <c r="L39" s="462">
        <v>0</v>
      </c>
      <c r="M39" s="462">
        <f t="shared" si="2"/>
        <v>219796.3</v>
      </c>
      <c r="N39" s="229" t="s">
        <v>104</v>
      </c>
      <c r="O39" s="474">
        <f t="shared" si="3"/>
        <v>0.99999981801334814</v>
      </c>
      <c r="P39" s="474">
        <f t="shared" si="4"/>
        <v>0.99999981801334814</v>
      </c>
      <c r="Q39" s="231" t="s">
        <v>413</v>
      </c>
      <c r="R39" s="274">
        <v>132.5</v>
      </c>
      <c r="S39" s="233" t="s">
        <v>424</v>
      </c>
      <c r="T39" s="223" t="s">
        <v>690</v>
      </c>
      <c r="U39" s="223" t="s">
        <v>966</v>
      </c>
      <c r="V39" s="223" t="s">
        <v>968</v>
      </c>
      <c r="W39" s="223" t="s">
        <v>573</v>
      </c>
      <c r="X39" s="223" t="s">
        <v>969</v>
      </c>
    </row>
    <row r="40" spans="1:24" s="189" customFormat="1" ht="54.75" customHeight="1">
      <c r="A40" s="221" t="s">
        <v>411</v>
      </c>
      <c r="B40" s="250">
        <v>43251</v>
      </c>
      <c r="C40" s="223" t="s">
        <v>906</v>
      </c>
      <c r="D40" s="224"/>
      <c r="E40" s="272" t="s">
        <v>446</v>
      </c>
      <c r="F40" s="273" t="s">
        <v>907</v>
      </c>
      <c r="G40" s="215">
        <f t="shared" si="0"/>
        <v>101167.14</v>
      </c>
      <c r="H40" s="467">
        <v>101167.14</v>
      </c>
      <c r="I40" s="215">
        <f t="shared" si="1"/>
        <v>101167.14</v>
      </c>
      <c r="J40" s="464">
        <f>91808.04+9359.1</f>
        <v>101167.14</v>
      </c>
      <c r="K40" s="289">
        <f t="shared" si="5"/>
        <v>0</v>
      </c>
      <c r="L40" s="462">
        <v>0</v>
      </c>
      <c r="M40" s="462">
        <f t="shared" si="2"/>
        <v>101167.14</v>
      </c>
      <c r="N40" s="229" t="s">
        <v>104</v>
      </c>
      <c r="O40" s="474">
        <f t="shared" si="3"/>
        <v>1</v>
      </c>
      <c r="P40" s="474">
        <f t="shared" si="4"/>
        <v>1</v>
      </c>
      <c r="Q40" s="231" t="s">
        <v>413</v>
      </c>
      <c r="R40" s="274">
        <v>40</v>
      </c>
      <c r="S40" s="233" t="s">
        <v>424</v>
      </c>
      <c r="T40" s="223" t="s">
        <v>690</v>
      </c>
      <c r="U40" s="223" t="s">
        <v>573</v>
      </c>
      <c r="V40" s="223" t="s">
        <v>969</v>
      </c>
      <c r="W40" s="223" t="s">
        <v>737</v>
      </c>
      <c r="X40" s="223" t="s">
        <v>738</v>
      </c>
    </row>
    <row r="41" spans="1:24" s="189" customFormat="1" ht="54.75" customHeight="1">
      <c r="A41" s="221" t="s">
        <v>411</v>
      </c>
      <c r="B41" s="250">
        <v>43251</v>
      </c>
      <c r="C41" s="223" t="s">
        <v>735</v>
      </c>
      <c r="D41" s="224"/>
      <c r="E41" s="272" t="s">
        <v>447</v>
      </c>
      <c r="F41" s="273" t="s">
        <v>736</v>
      </c>
      <c r="G41" s="215">
        <f t="shared" si="0"/>
        <v>179865</v>
      </c>
      <c r="H41" s="467">
        <v>179865</v>
      </c>
      <c r="I41" s="215">
        <f t="shared" si="1"/>
        <v>179865.18999999997</v>
      </c>
      <c r="J41" s="464">
        <f>53959.56+100842.42+25063.21</f>
        <v>179865.18999999997</v>
      </c>
      <c r="K41" s="289">
        <f t="shared" si="5"/>
        <v>-0.18999999997322448</v>
      </c>
      <c r="L41" s="462">
        <v>0</v>
      </c>
      <c r="M41" s="462">
        <f t="shared" si="2"/>
        <v>179865.18999999997</v>
      </c>
      <c r="N41" s="229" t="s">
        <v>104</v>
      </c>
      <c r="O41" s="474">
        <f t="shared" si="3"/>
        <v>1.0000010563478163</v>
      </c>
      <c r="P41" s="474">
        <f t="shared" si="4"/>
        <v>1.0000010563478163</v>
      </c>
      <c r="Q41" s="231" t="s">
        <v>413</v>
      </c>
      <c r="R41" s="274">
        <v>79.3</v>
      </c>
      <c r="S41" s="233" t="s">
        <v>448</v>
      </c>
      <c r="T41" s="223" t="s">
        <v>690</v>
      </c>
      <c r="U41" s="223" t="s">
        <v>737</v>
      </c>
      <c r="V41" s="223" t="s">
        <v>738</v>
      </c>
      <c r="W41" s="223" t="s">
        <v>739</v>
      </c>
      <c r="X41" s="223" t="s">
        <v>740</v>
      </c>
    </row>
    <row r="42" spans="1:24" s="189" customFormat="1" ht="54.75" customHeight="1">
      <c r="A42" s="221" t="s">
        <v>100</v>
      </c>
      <c r="B42" s="250">
        <v>43244</v>
      </c>
      <c r="C42" s="223" t="s">
        <v>1106</v>
      </c>
      <c r="D42" s="224" t="s">
        <v>436</v>
      </c>
      <c r="E42" s="272" t="s">
        <v>449</v>
      </c>
      <c r="F42" s="273" t="s">
        <v>908</v>
      </c>
      <c r="G42" s="215">
        <f t="shared" si="0"/>
        <v>1325658.72</v>
      </c>
      <c r="H42" s="467">
        <v>1325658.72</v>
      </c>
      <c r="I42" s="215">
        <f t="shared" si="1"/>
        <v>1325658.7200000002</v>
      </c>
      <c r="J42" s="464">
        <f>404858.78+287499.65+489882.52+143417.77</f>
        <v>1325658.7200000002</v>
      </c>
      <c r="K42" s="289">
        <f t="shared" si="5"/>
        <v>0</v>
      </c>
      <c r="L42" s="462">
        <v>0</v>
      </c>
      <c r="M42" s="462">
        <f t="shared" si="2"/>
        <v>1325658.7200000002</v>
      </c>
      <c r="N42" s="229" t="s">
        <v>104</v>
      </c>
      <c r="O42" s="474">
        <f t="shared" si="3"/>
        <v>1.0000000000000002</v>
      </c>
      <c r="P42" s="474">
        <f t="shared" si="4"/>
        <v>1.0000000000000002</v>
      </c>
      <c r="Q42" s="231" t="s">
        <v>63</v>
      </c>
      <c r="R42" s="274">
        <v>907.67</v>
      </c>
      <c r="S42" s="233" t="s">
        <v>450</v>
      </c>
      <c r="T42" s="223" t="s">
        <v>118</v>
      </c>
      <c r="U42" s="223" t="s">
        <v>739</v>
      </c>
      <c r="V42" s="223" t="s">
        <v>740</v>
      </c>
      <c r="W42" s="223" t="s">
        <v>553</v>
      </c>
      <c r="X42" s="223" t="s">
        <v>554</v>
      </c>
    </row>
    <row r="43" spans="1:24" s="189" customFormat="1" ht="54.75" customHeight="1">
      <c r="A43" s="221" t="s">
        <v>100</v>
      </c>
      <c r="B43" s="250">
        <v>43244</v>
      </c>
      <c r="C43" s="223" t="s">
        <v>909</v>
      </c>
      <c r="D43" s="224" t="s">
        <v>436</v>
      </c>
      <c r="E43" s="272" t="s">
        <v>451</v>
      </c>
      <c r="F43" s="273" t="s">
        <v>910</v>
      </c>
      <c r="G43" s="215">
        <f t="shared" si="0"/>
        <v>1518276.64</v>
      </c>
      <c r="H43" s="467">
        <v>1518276.64</v>
      </c>
      <c r="I43" s="215">
        <f t="shared" si="1"/>
        <v>1518276.54</v>
      </c>
      <c r="J43" s="464">
        <f>736145.38+578278.51+203852.65</f>
        <v>1518276.54</v>
      </c>
      <c r="K43" s="289">
        <f t="shared" si="5"/>
        <v>9.9999999860301614E-2</v>
      </c>
      <c r="L43" s="462">
        <v>0</v>
      </c>
      <c r="M43" s="462">
        <f t="shared" si="2"/>
        <v>1518276.54</v>
      </c>
      <c r="N43" s="229" t="s">
        <v>104</v>
      </c>
      <c r="O43" s="474">
        <f t="shared" si="3"/>
        <v>0.99999993413585031</v>
      </c>
      <c r="P43" s="474">
        <f t="shared" si="4"/>
        <v>0.99999993413585031</v>
      </c>
      <c r="Q43" s="231" t="s">
        <v>63</v>
      </c>
      <c r="R43" s="274">
        <v>1040.67</v>
      </c>
      <c r="S43" s="233" t="s">
        <v>450</v>
      </c>
      <c r="T43" s="223" t="s">
        <v>118</v>
      </c>
      <c r="U43" s="223" t="s">
        <v>553</v>
      </c>
      <c r="V43" s="223" t="s">
        <v>554</v>
      </c>
      <c r="W43" s="223" t="s">
        <v>555</v>
      </c>
      <c r="X43" s="223" t="s">
        <v>556</v>
      </c>
    </row>
    <row r="44" spans="1:24" s="189" customFormat="1" ht="54.75" customHeight="1">
      <c r="A44" s="221" t="s">
        <v>100</v>
      </c>
      <c r="B44" s="250">
        <v>43244</v>
      </c>
      <c r="C44" s="223" t="s">
        <v>1107</v>
      </c>
      <c r="D44" s="224" t="s">
        <v>417</v>
      </c>
      <c r="E44" s="272" t="s">
        <v>452</v>
      </c>
      <c r="F44" s="273" t="s">
        <v>911</v>
      </c>
      <c r="G44" s="215">
        <f t="shared" si="0"/>
        <v>1406492</v>
      </c>
      <c r="H44" s="467">
        <v>1406492</v>
      </c>
      <c r="I44" s="215">
        <f t="shared" si="1"/>
        <v>1406492</v>
      </c>
      <c r="J44" s="464">
        <v>1406492</v>
      </c>
      <c r="K44" s="289">
        <f t="shared" si="5"/>
        <v>0</v>
      </c>
      <c r="L44" s="462">
        <v>0</v>
      </c>
      <c r="M44" s="462">
        <f t="shared" si="2"/>
        <v>1406492</v>
      </c>
      <c r="N44" s="229" t="s">
        <v>104</v>
      </c>
      <c r="O44" s="474">
        <f t="shared" si="3"/>
        <v>1</v>
      </c>
      <c r="P44" s="474">
        <f t="shared" si="4"/>
        <v>1</v>
      </c>
      <c r="Q44" s="231" t="s">
        <v>63</v>
      </c>
      <c r="R44" s="274">
        <v>1330.04</v>
      </c>
      <c r="S44" s="233" t="s">
        <v>453</v>
      </c>
      <c r="T44" s="223" t="s">
        <v>118</v>
      </c>
      <c r="U44" s="223" t="s">
        <v>555</v>
      </c>
      <c r="V44" s="223" t="s">
        <v>556</v>
      </c>
      <c r="W44" s="223" t="s">
        <v>557</v>
      </c>
      <c r="X44" s="223" t="s">
        <v>558</v>
      </c>
    </row>
    <row r="45" spans="1:24" s="189" customFormat="1" ht="54.75" customHeight="1">
      <c r="A45" s="221" t="s">
        <v>100</v>
      </c>
      <c r="B45" s="250">
        <v>43244</v>
      </c>
      <c r="C45" s="223" t="s">
        <v>912</v>
      </c>
      <c r="D45" s="224" t="s">
        <v>417</v>
      </c>
      <c r="E45" s="272" t="s">
        <v>454</v>
      </c>
      <c r="F45" s="273" t="s">
        <v>913</v>
      </c>
      <c r="G45" s="215">
        <f t="shared" si="0"/>
        <v>1326838</v>
      </c>
      <c r="H45" s="467">
        <v>1326838</v>
      </c>
      <c r="I45" s="215">
        <f t="shared" si="1"/>
        <v>1326837.94</v>
      </c>
      <c r="J45" s="464">
        <f>652331.18+422896.14+251610.62</f>
        <v>1326837.94</v>
      </c>
      <c r="K45" s="289">
        <f t="shared" si="5"/>
        <v>6.0000000055879354E-2</v>
      </c>
      <c r="L45" s="462">
        <v>0</v>
      </c>
      <c r="M45" s="462">
        <f t="shared" si="2"/>
        <v>1326837.94</v>
      </c>
      <c r="N45" s="229" t="s">
        <v>104</v>
      </c>
      <c r="O45" s="474">
        <f t="shared" si="3"/>
        <v>0.99999995477970927</v>
      </c>
      <c r="P45" s="474">
        <f t="shared" si="4"/>
        <v>0.99999995477970927</v>
      </c>
      <c r="Q45" s="231" t="s">
        <v>63</v>
      </c>
      <c r="R45" s="274">
        <v>1665.05</v>
      </c>
      <c r="S45" s="233" t="s">
        <v>453</v>
      </c>
      <c r="T45" s="223" t="s">
        <v>118</v>
      </c>
      <c r="U45" s="223" t="s">
        <v>557</v>
      </c>
      <c r="V45" s="223" t="s">
        <v>558</v>
      </c>
      <c r="W45" s="223" t="s">
        <v>559</v>
      </c>
      <c r="X45" s="223" t="s">
        <v>560</v>
      </c>
    </row>
    <row r="46" spans="1:24" s="189" customFormat="1" ht="54.75" customHeight="1">
      <c r="A46" s="221" t="s">
        <v>100</v>
      </c>
      <c r="B46" s="250">
        <v>43269</v>
      </c>
      <c r="C46" s="223" t="s">
        <v>488</v>
      </c>
      <c r="D46" s="224"/>
      <c r="E46" s="272" t="s">
        <v>489</v>
      </c>
      <c r="F46" s="273" t="s">
        <v>490</v>
      </c>
      <c r="G46" s="215">
        <f t="shared" si="0"/>
        <v>1196924.8500000001</v>
      </c>
      <c r="H46" s="467">
        <v>1196924.8500000001</v>
      </c>
      <c r="I46" s="215">
        <f t="shared" si="1"/>
        <v>1196924.8500000001</v>
      </c>
      <c r="J46" s="464">
        <f>339583.83+857341.02</f>
        <v>1196924.8500000001</v>
      </c>
      <c r="K46" s="289">
        <f t="shared" si="5"/>
        <v>0</v>
      </c>
      <c r="L46" s="462">
        <v>0</v>
      </c>
      <c r="M46" s="462">
        <f t="shared" si="2"/>
        <v>1196924.8500000001</v>
      </c>
      <c r="N46" s="229" t="s">
        <v>104</v>
      </c>
      <c r="O46" s="474">
        <f t="shared" si="3"/>
        <v>1</v>
      </c>
      <c r="P46" s="474">
        <f t="shared" si="4"/>
        <v>1</v>
      </c>
      <c r="Q46" s="231" t="s">
        <v>63</v>
      </c>
      <c r="R46" s="274">
        <v>680</v>
      </c>
      <c r="S46" s="233" t="s">
        <v>491</v>
      </c>
      <c r="T46" s="223" t="s">
        <v>118</v>
      </c>
      <c r="U46" s="223" t="s">
        <v>559</v>
      </c>
      <c r="V46" s="223" t="s">
        <v>560</v>
      </c>
      <c r="W46" s="223" t="s">
        <v>741</v>
      </c>
      <c r="X46" s="223" t="s">
        <v>742</v>
      </c>
    </row>
    <row r="47" spans="1:24" s="189" customFormat="1" ht="54.75" customHeight="1">
      <c r="A47" s="221" t="s">
        <v>100</v>
      </c>
      <c r="B47" s="250">
        <v>43266</v>
      </c>
      <c r="C47" s="223" t="s">
        <v>1108</v>
      </c>
      <c r="D47" s="224"/>
      <c r="E47" s="272" t="s">
        <v>492</v>
      </c>
      <c r="F47" s="273" t="s">
        <v>1109</v>
      </c>
      <c r="G47" s="215">
        <f t="shared" si="0"/>
        <v>1981746.5</v>
      </c>
      <c r="H47" s="467">
        <v>1981746.5</v>
      </c>
      <c r="I47" s="215">
        <f t="shared" si="1"/>
        <v>1981746.5</v>
      </c>
      <c r="J47" s="464">
        <f>594523.95+233535.81+419892.77+626803.45+91845.95+15144.57</f>
        <v>1981746.5</v>
      </c>
      <c r="K47" s="289">
        <f t="shared" si="5"/>
        <v>0</v>
      </c>
      <c r="L47" s="462">
        <v>0</v>
      </c>
      <c r="M47" s="462">
        <f t="shared" si="2"/>
        <v>1981746.5</v>
      </c>
      <c r="N47" s="229" t="s">
        <v>104</v>
      </c>
      <c r="O47" s="474">
        <f t="shared" si="3"/>
        <v>1</v>
      </c>
      <c r="P47" s="474">
        <f t="shared" si="4"/>
        <v>1</v>
      </c>
      <c r="Q47" s="231" t="s">
        <v>493</v>
      </c>
      <c r="R47" s="274">
        <v>30</v>
      </c>
      <c r="S47" s="233" t="s">
        <v>160</v>
      </c>
      <c r="T47" s="223" t="s">
        <v>118</v>
      </c>
      <c r="U47" s="223" t="s">
        <v>741</v>
      </c>
      <c r="V47" s="223" t="s">
        <v>742</v>
      </c>
      <c r="W47" s="223" t="s">
        <v>561</v>
      </c>
      <c r="X47" s="223" t="s">
        <v>562</v>
      </c>
    </row>
    <row r="48" spans="1:24" s="189" customFormat="1" ht="54.75" customHeight="1">
      <c r="A48" s="221" t="s">
        <v>100</v>
      </c>
      <c r="B48" s="250">
        <v>43266</v>
      </c>
      <c r="C48" s="223" t="s">
        <v>1110</v>
      </c>
      <c r="D48" s="224"/>
      <c r="E48" s="272" t="s">
        <v>494</v>
      </c>
      <c r="F48" s="273" t="s">
        <v>1111</v>
      </c>
      <c r="G48" s="215">
        <f t="shared" si="0"/>
        <v>2362120.25</v>
      </c>
      <c r="H48" s="467">
        <v>2362120.25</v>
      </c>
      <c r="I48" s="215">
        <f t="shared" si="1"/>
        <v>2362120.2400000002</v>
      </c>
      <c r="J48" s="464">
        <f>708636.07+422206.89+531850.1+633812.73+65614.45</f>
        <v>2362120.2400000002</v>
      </c>
      <c r="K48" s="289">
        <f t="shared" si="5"/>
        <v>9.9999997764825821E-3</v>
      </c>
      <c r="L48" s="462">
        <v>0</v>
      </c>
      <c r="M48" s="462">
        <f t="shared" si="2"/>
        <v>2362120.2400000002</v>
      </c>
      <c r="N48" s="229" t="s">
        <v>104</v>
      </c>
      <c r="O48" s="474">
        <f t="shared" si="3"/>
        <v>0.99999999576651533</v>
      </c>
      <c r="P48" s="474">
        <f t="shared" si="4"/>
        <v>0.99999999576651533</v>
      </c>
      <c r="Q48" s="231" t="s">
        <v>493</v>
      </c>
      <c r="R48" s="274">
        <v>36</v>
      </c>
      <c r="S48" s="233" t="s">
        <v>495</v>
      </c>
      <c r="T48" s="223" t="s">
        <v>118</v>
      </c>
      <c r="U48" s="223" t="s">
        <v>561</v>
      </c>
      <c r="V48" s="223" t="s">
        <v>562</v>
      </c>
      <c r="W48" s="223" t="s">
        <v>563</v>
      </c>
      <c r="X48" s="223" t="s">
        <v>564</v>
      </c>
    </row>
    <row r="49" spans="1:24" s="189" customFormat="1" ht="54.75" customHeight="1">
      <c r="A49" s="221" t="s">
        <v>100</v>
      </c>
      <c r="B49" s="250">
        <v>43266</v>
      </c>
      <c r="C49" s="223" t="s">
        <v>1112</v>
      </c>
      <c r="D49" s="224"/>
      <c r="E49" s="272" t="s">
        <v>496</v>
      </c>
      <c r="F49" s="273" t="s">
        <v>1113</v>
      </c>
      <c r="G49" s="215">
        <f t="shared" si="0"/>
        <v>2320702.0299999998</v>
      </c>
      <c r="H49" s="467">
        <v>2320702.0299999998</v>
      </c>
      <c r="I49" s="215">
        <f t="shared" si="1"/>
        <v>2320702.0300000003</v>
      </c>
      <c r="J49" s="464">
        <f>696210.61+490977.49+158819.08+692009.45+276718.59+5966.81</f>
        <v>2320702.0300000003</v>
      </c>
      <c r="K49" s="289">
        <f t="shared" si="5"/>
        <v>0</v>
      </c>
      <c r="L49" s="462">
        <v>0</v>
      </c>
      <c r="M49" s="462">
        <f t="shared" ref="M49:M80" si="6">I49+L49</f>
        <v>2320702.0300000003</v>
      </c>
      <c r="N49" s="229" t="s">
        <v>104</v>
      </c>
      <c r="O49" s="474">
        <f t="shared" si="3"/>
        <v>1.0000000000000002</v>
      </c>
      <c r="P49" s="474">
        <f t="shared" si="4"/>
        <v>1.0000000000000002</v>
      </c>
      <c r="Q49" s="231" t="s">
        <v>493</v>
      </c>
      <c r="R49" s="274">
        <v>35</v>
      </c>
      <c r="S49" s="233" t="s">
        <v>170</v>
      </c>
      <c r="T49" s="223" t="s">
        <v>118</v>
      </c>
      <c r="U49" s="223" t="s">
        <v>563</v>
      </c>
      <c r="V49" s="223" t="s">
        <v>564</v>
      </c>
      <c r="W49" s="223" t="s">
        <v>565</v>
      </c>
      <c r="X49" s="223" t="s">
        <v>566</v>
      </c>
    </row>
    <row r="50" spans="1:24" s="189" customFormat="1" ht="54.75" customHeight="1">
      <c r="A50" s="221" t="s">
        <v>100</v>
      </c>
      <c r="B50" s="250">
        <v>43266</v>
      </c>
      <c r="C50" s="223" t="s">
        <v>1114</v>
      </c>
      <c r="D50" s="224"/>
      <c r="E50" s="272" t="s">
        <v>497</v>
      </c>
      <c r="F50" s="273" t="s">
        <v>1115</v>
      </c>
      <c r="G50" s="215">
        <f t="shared" si="0"/>
        <v>2364774.39</v>
      </c>
      <c r="H50" s="467">
        <v>2364774.39</v>
      </c>
      <c r="I50" s="215">
        <f t="shared" si="1"/>
        <v>2364774.39</v>
      </c>
      <c r="J50" s="464">
        <f>709432.32+664341.85+987636.81+3363.41</f>
        <v>2364774.39</v>
      </c>
      <c r="K50" s="289">
        <f t="shared" si="5"/>
        <v>0</v>
      </c>
      <c r="L50" s="462">
        <v>0</v>
      </c>
      <c r="M50" s="462">
        <f t="shared" si="6"/>
        <v>2364774.39</v>
      </c>
      <c r="N50" s="229" t="s">
        <v>104</v>
      </c>
      <c r="O50" s="474">
        <f t="shared" si="3"/>
        <v>1</v>
      </c>
      <c r="P50" s="474">
        <f t="shared" si="4"/>
        <v>1</v>
      </c>
      <c r="Q50" s="231" t="s">
        <v>493</v>
      </c>
      <c r="R50" s="274">
        <v>36</v>
      </c>
      <c r="S50" s="233" t="s">
        <v>495</v>
      </c>
      <c r="T50" s="223" t="s">
        <v>118</v>
      </c>
      <c r="U50" s="223" t="s">
        <v>565</v>
      </c>
      <c r="V50" s="223" t="s">
        <v>566</v>
      </c>
      <c r="W50" s="223" t="s">
        <v>567</v>
      </c>
      <c r="X50" s="223" t="s">
        <v>568</v>
      </c>
    </row>
    <row r="51" spans="1:24" s="189" customFormat="1" ht="54.75" customHeight="1">
      <c r="A51" s="221" t="s">
        <v>100</v>
      </c>
      <c r="B51" s="250">
        <v>43266</v>
      </c>
      <c r="C51" s="223" t="s">
        <v>1116</v>
      </c>
      <c r="D51" s="224"/>
      <c r="E51" s="272" t="s">
        <v>498</v>
      </c>
      <c r="F51" s="273" t="s">
        <v>1117</v>
      </c>
      <c r="G51" s="215">
        <f t="shared" si="0"/>
        <v>1331086.53</v>
      </c>
      <c r="H51" s="467">
        <v>1331086.53</v>
      </c>
      <c r="I51" s="215">
        <f t="shared" si="1"/>
        <v>1331086.53</v>
      </c>
      <c r="J51" s="464">
        <f>399325.96+462292.49+323597.15+138037.91+7833.02</f>
        <v>1331086.53</v>
      </c>
      <c r="K51" s="289">
        <f t="shared" si="5"/>
        <v>0</v>
      </c>
      <c r="L51" s="462">
        <v>0</v>
      </c>
      <c r="M51" s="462">
        <f t="shared" si="6"/>
        <v>1331086.53</v>
      </c>
      <c r="N51" s="229" t="s">
        <v>104</v>
      </c>
      <c r="O51" s="474">
        <f t="shared" ref="O51:O82" si="7">I51/G51</f>
        <v>1</v>
      </c>
      <c r="P51" s="474">
        <f t="shared" ref="P51:P82" si="8">J51/H51</f>
        <v>1</v>
      </c>
      <c r="Q51" s="231" t="s">
        <v>493</v>
      </c>
      <c r="R51" s="274">
        <v>20</v>
      </c>
      <c r="S51" s="233" t="s">
        <v>141</v>
      </c>
      <c r="T51" s="223" t="s">
        <v>118</v>
      </c>
      <c r="U51" s="223" t="s">
        <v>567</v>
      </c>
      <c r="V51" s="223" t="s">
        <v>568</v>
      </c>
      <c r="W51" s="223" t="s">
        <v>743</v>
      </c>
      <c r="X51" s="223" t="s">
        <v>744</v>
      </c>
    </row>
    <row r="52" spans="1:24" s="189" customFormat="1" ht="54.75" customHeight="1">
      <c r="A52" s="221" t="s">
        <v>100</v>
      </c>
      <c r="B52" s="250">
        <v>43266</v>
      </c>
      <c r="C52" s="223" t="s">
        <v>1118</v>
      </c>
      <c r="D52" s="224"/>
      <c r="E52" s="272" t="s">
        <v>499</v>
      </c>
      <c r="F52" s="273" t="s">
        <v>1119</v>
      </c>
      <c r="G52" s="215">
        <f t="shared" si="0"/>
        <v>1770095.14</v>
      </c>
      <c r="H52" s="467">
        <v>1770095.14</v>
      </c>
      <c r="I52" s="215">
        <f t="shared" si="1"/>
        <v>1770095.1400000001</v>
      </c>
      <c r="J52" s="464">
        <f>531028.54+342380.07+263369.29+605946.49+27370.75</f>
        <v>1770095.1400000001</v>
      </c>
      <c r="K52" s="289">
        <f t="shared" ref="K52:K83" si="9">G52-I52</f>
        <v>0</v>
      </c>
      <c r="L52" s="462">
        <v>0</v>
      </c>
      <c r="M52" s="462">
        <f t="shared" si="6"/>
        <v>1770095.1400000001</v>
      </c>
      <c r="N52" s="229" t="s">
        <v>104</v>
      </c>
      <c r="O52" s="474">
        <f t="shared" si="7"/>
        <v>1.0000000000000002</v>
      </c>
      <c r="P52" s="474">
        <f t="shared" si="8"/>
        <v>1.0000000000000002</v>
      </c>
      <c r="Q52" s="231" t="s">
        <v>493</v>
      </c>
      <c r="R52" s="274">
        <v>27</v>
      </c>
      <c r="S52" s="233" t="s">
        <v>154</v>
      </c>
      <c r="T52" s="223" t="s">
        <v>118</v>
      </c>
      <c r="U52" s="223" t="s">
        <v>743</v>
      </c>
      <c r="V52" s="223" t="s">
        <v>744</v>
      </c>
      <c r="W52" s="223" t="s">
        <v>569</v>
      </c>
      <c r="X52" s="223" t="s">
        <v>570</v>
      </c>
    </row>
    <row r="53" spans="1:24" s="189" customFormat="1" ht="54.75" customHeight="1">
      <c r="A53" s="221" t="s">
        <v>100</v>
      </c>
      <c r="B53" s="250">
        <v>43269</v>
      </c>
      <c r="C53" s="223" t="s">
        <v>1120</v>
      </c>
      <c r="D53" s="224"/>
      <c r="E53" s="272" t="s">
        <v>500</v>
      </c>
      <c r="F53" s="273" t="s">
        <v>1121</v>
      </c>
      <c r="G53" s="215">
        <f t="shared" si="0"/>
        <v>1649874.78</v>
      </c>
      <c r="H53" s="467">
        <v>1649874.78</v>
      </c>
      <c r="I53" s="215">
        <f t="shared" si="1"/>
        <v>1649874.77</v>
      </c>
      <c r="J53" s="464">
        <f>494962.43+346583.56+186226.85+249353.41+368077.1+4671.42</f>
        <v>1649874.77</v>
      </c>
      <c r="K53" s="289">
        <f t="shared" si="9"/>
        <v>1.0000000009313226E-2</v>
      </c>
      <c r="L53" s="462">
        <v>0</v>
      </c>
      <c r="M53" s="462">
        <f t="shared" si="6"/>
        <v>1649874.77</v>
      </c>
      <c r="N53" s="229" t="s">
        <v>104</v>
      </c>
      <c r="O53" s="474">
        <f t="shared" si="7"/>
        <v>0.99999999393893391</v>
      </c>
      <c r="P53" s="474">
        <f t="shared" si="8"/>
        <v>0.99999999393893391</v>
      </c>
      <c r="Q53" s="231" t="s">
        <v>493</v>
      </c>
      <c r="R53" s="274">
        <v>25</v>
      </c>
      <c r="S53" s="233" t="s">
        <v>151</v>
      </c>
      <c r="T53" s="223" t="s">
        <v>118</v>
      </c>
      <c r="U53" s="223" t="s">
        <v>569</v>
      </c>
      <c r="V53" s="223" t="s">
        <v>570</v>
      </c>
      <c r="W53" s="223" t="s">
        <v>745</v>
      </c>
      <c r="X53" s="223" t="s">
        <v>746</v>
      </c>
    </row>
    <row r="54" spans="1:24" s="189" customFormat="1" ht="54.75" customHeight="1">
      <c r="A54" s="221" t="s">
        <v>100</v>
      </c>
      <c r="B54" s="250">
        <v>43269</v>
      </c>
      <c r="C54" s="223" t="s">
        <v>1122</v>
      </c>
      <c r="D54" s="224"/>
      <c r="E54" s="272" t="s">
        <v>501</v>
      </c>
      <c r="F54" s="273" t="s">
        <v>1123</v>
      </c>
      <c r="G54" s="215">
        <f t="shared" si="0"/>
        <v>2229817.59</v>
      </c>
      <c r="H54" s="467">
        <v>2229817.59</v>
      </c>
      <c r="I54" s="215">
        <f t="shared" si="1"/>
        <v>2229817.56</v>
      </c>
      <c r="J54" s="464">
        <f>668945.28+281800.87+254234.47+345135.33+679701.61</f>
        <v>2229817.56</v>
      </c>
      <c r="K54" s="289">
        <f t="shared" si="9"/>
        <v>2.9999999795109034E-2</v>
      </c>
      <c r="L54" s="462">
        <v>0</v>
      </c>
      <c r="M54" s="462">
        <f t="shared" si="6"/>
        <v>2229817.56</v>
      </c>
      <c r="N54" s="229" t="s">
        <v>104</v>
      </c>
      <c r="O54" s="474">
        <f t="shared" si="7"/>
        <v>0.99999998654598476</v>
      </c>
      <c r="P54" s="474">
        <f t="shared" si="8"/>
        <v>0.99999998654598476</v>
      </c>
      <c r="Q54" s="231" t="s">
        <v>493</v>
      </c>
      <c r="R54" s="274">
        <v>34</v>
      </c>
      <c r="S54" s="233" t="s">
        <v>168</v>
      </c>
      <c r="T54" s="223" t="s">
        <v>118</v>
      </c>
      <c r="U54" s="223" t="s">
        <v>745</v>
      </c>
      <c r="V54" s="223" t="s">
        <v>746</v>
      </c>
      <c r="W54" s="223" t="s">
        <v>571</v>
      </c>
      <c r="X54" s="223" t="s">
        <v>572</v>
      </c>
    </row>
    <row r="55" spans="1:24" s="189" customFormat="1" ht="54.75" customHeight="1">
      <c r="A55" s="221" t="s">
        <v>100</v>
      </c>
      <c r="B55" s="250">
        <v>43269</v>
      </c>
      <c r="C55" s="223" t="s">
        <v>1124</v>
      </c>
      <c r="D55" s="224"/>
      <c r="E55" s="272" t="s">
        <v>502</v>
      </c>
      <c r="F55" s="273" t="s">
        <v>1125</v>
      </c>
      <c r="G55" s="215">
        <f t="shared" si="0"/>
        <v>1980581.48</v>
      </c>
      <c r="H55" s="467">
        <v>1980581.48</v>
      </c>
      <c r="I55" s="215">
        <f t="shared" si="1"/>
        <v>1980581.4799999997</v>
      </c>
      <c r="J55" s="464">
        <f>594174.44+453049.97+255068.79+630777.14+47511.14</f>
        <v>1980581.4799999997</v>
      </c>
      <c r="K55" s="289">
        <f t="shared" si="9"/>
        <v>0</v>
      </c>
      <c r="L55" s="462">
        <v>0</v>
      </c>
      <c r="M55" s="462">
        <f t="shared" si="6"/>
        <v>1980581.4799999997</v>
      </c>
      <c r="N55" s="229" t="s">
        <v>104</v>
      </c>
      <c r="O55" s="474">
        <f t="shared" si="7"/>
        <v>0.99999999999999989</v>
      </c>
      <c r="P55" s="474">
        <f t="shared" si="8"/>
        <v>0.99999999999999989</v>
      </c>
      <c r="Q55" s="231" t="s">
        <v>493</v>
      </c>
      <c r="R55" s="274">
        <v>30</v>
      </c>
      <c r="S55" s="233" t="s">
        <v>160</v>
      </c>
      <c r="T55" s="223" t="s">
        <v>118</v>
      </c>
      <c r="U55" s="223" t="s">
        <v>571</v>
      </c>
      <c r="V55" s="223" t="s">
        <v>572</v>
      </c>
      <c r="W55" s="223" t="s">
        <v>573</v>
      </c>
      <c r="X55" s="223" t="s">
        <v>574</v>
      </c>
    </row>
    <row r="56" spans="1:24" s="189" customFormat="1" ht="54.75" customHeight="1">
      <c r="A56" s="221" t="s">
        <v>100</v>
      </c>
      <c r="B56" s="250">
        <v>43269</v>
      </c>
      <c r="C56" s="223" t="s">
        <v>1126</v>
      </c>
      <c r="D56" s="224"/>
      <c r="E56" s="272" t="s">
        <v>503</v>
      </c>
      <c r="F56" s="273" t="s">
        <v>1127</v>
      </c>
      <c r="G56" s="215">
        <f t="shared" si="0"/>
        <v>1780075.67</v>
      </c>
      <c r="H56" s="467">
        <v>1780075.67</v>
      </c>
      <c r="I56" s="215">
        <f t="shared" si="1"/>
        <v>1780075.72</v>
      </c>
      <c r="J56" s="464">
        <f>534022.7+1145451.94+86491.97+14109.11</f>
        <v>1780075.72</v>
      </c>
      <c r="K56" s="289">
        <f t="shared" si="9"/>
        <v>-5.0000000046566129E-2</v>
      </c>
      <c r="L56" s="462">
        <v>0</v>
      </c>
      <c r="M56" s="462">
        <f t="shared" si="6"/>
        <v>1780075.72</v>
      </c>
      <c r="N56" s="229" t="s">
        <v>104</v>
      </c>
      <c r="O56" s="474">
        <f t="shared" si="7"/>
        <v>1.0000000280886936</v>
      </c>
      <c r="P56" s="474">
        <f t="shared" si="8"/>
        <v>1.0000000280886936</v>
      </c>
      <c r="Q56" s="231" t="s">
        <v>493</v>
      </c>
      <c r="R56" s="274">
        <v>27</v>
      </c>
      <c r="S56" s="233" t="s">
        <v>154</v>
      </c>
      <c r="T56" s="223" t="s">
        <v>118</v>
      </c>
      <c r="U56" s="223" t="s">
        <v>573</v>
      </c>
      <c r="V56" s="223" t="s">
        <v>574</v>
      </c>
      <c r="W56" s="223" t="s">
        <v>575</v>
      </c>
      <c r="X56" s="223" t="s">
        <v>576</v>
      </c>
    </row>
    <row r="57" spans="1:24" s="189" customFormat="1" ht="54.75" customHeight="1">
      <c r="A57" s="221" t="s">
        <v>100</v>
      </c>
      <c r="B57" s="250">
        <v>43269</v>
      </c>
      <c r="C57" s="223" t="s">
        <v>1128</v>
      </c>
      <c r="D57" s="224"/>
      <c r="E57" s="272" t="s">
        <v>504</v>
      </c>
      <c r="F57" s="273" t="s">
        <v>1129</v>
      </c>
      <c r="G57" s="215">
        <f t="shared" si="0"/>
        <v>1741560.1</v>
      </c>
      <c r="H57" s="467">
        <v>1741560.1</v>
      </c>
      <c r="I57" s="215">
        <f t="shared" si="1"/>
        <v>1741560.1</v>
      </c>
      <c r="J57" s="464">
        <f>522468.03+328981.77+202417.33+429273+206664.8+51755.17</f>
        <v>1741560.1</v>
      </c>
      <c r="K57" s="289">
        <f t="shared" si="9"/>
        <v>0</v>
      </c>
      <c r="L57" s="462">
        <v>0</v>
      </c>
      <c r="M57" s="462">
        <f t="shared" si="6"/>
        <v>1741560.1</v>
      </c>
      <c r="N57" s="229" t="s">
        <v>104</v>
      </c>
      <c r="O57" s="474">
        <f t="shared" si="7"/>
        <v>1</v>
      </c>
      <c r="P57" s="474">
        <f t="shared" si="8"/>
        <v>1</v>
      </c>
      <c r="Q57" s="231" t="s">
        <v>493</v>
      </c>
      <c r="R57" s="274">
        <v>39</v>
      </c>
      <c r="S57" s="233" t="s">
        <v>505</v>
      </c>
      <c r="T57" s="223" t="s">
        <v>118</v>
      </c>
      <c r="U57" s="223" t="s">
        <v>575</v>
      </c>
      <c r="V57" s="223" t="s">
        <v>576</v>
      </c>
      <c r="W57" s="223" t="s">
        <v>353</v>
      </c>
      <c r="X57" s="223" t="s">
        <v>747</v>
      </c>
    </row>
    <row r="58" spans="1:24" s="189" customFormat="1" ht="54.75" customHeight="1">
      <c r="A58" s="221" t="s">
        <v>100</v>
      </c>
      <c r="B58" s="250">
        <v>43276</v>
      </c>
      <c r="C58" s="223" t="s">
        <v>1130</v>
      </c>
      <c r="D58" s="224"/>
      <c r="E58" s="272" t="s">
        <v>506</v>
      </c>
      <c r="F58" s="273" t="s">
        <v>507</v>
      </c>
      <c r="G58" s="215">
        <f t="shared" si="0"/>
        <v>1200488.57</v>
      </c>
      <c r="H58" s="467">
        <v>1200488.57</v>
      </c>
      <c r="I58" s="215">
        <f t="shared" si="1"/>
        <v>1200488.57</v>
      </c>
      <c r="J58" s="464">
        <f>600244.29+133758.37+440943.59+25542.32</f>
        <v>1200488.57</v>
      </c>
      <c r="K58" s="289">
        <f t="shared" si="9"/>
        <v>0</v>
      </c>
      <c r="L58" s="462">
        <v>0</v>
      </c>
      <c r="M58" s="462">
        <f t="shared" si="6"/>
        <v>1200488.57</v>
      </c>
      <c r="N58" s="229" t="s">
        <v>104</v>
      </c>
      <c r="O58" s="474">
        <f t="shared" si="7"/>
        <v>1</v>
      </c>
      <c r="P58" s="474">
        <f t="shared" si="8"/>
        <v>1</v>
      </c>
      <c r="Q58" s="231" t="s">
        <v>493</v>
      </c>
      <c r="R58" s="274">
        <v>47</v>
      </c>
      <c r="S58" s="233" t="s">
        <v>223</v>
      </c>
      <c r="T58" s="223" t="s">
        <v>118</v>
      </c>
      <c r="U58" s="223" t="s">
        <v>353</v>
      </c>
      <c r="V58" s="223" t="s">
        <v>747</v>
      </c>
      <c r="W58" s="223" t="s">
        <v>970</v>
      </c>
      <c r="X58" s="223" t="s">
        <v>971</v>
      </c>
    </row>
    <row r="59" spans="1:24" s="189" customFormat="1" ht="54.75" customHeight="1">
      <c r="A59" s="221" t="s">
        <v>100</v>
      </c>
      <c r="B59" s="250">
        <v>43280</v>
      </c>
      <c r="C59" s="223" t="s">
        <v>1131</v>
      </c>
      <c r="D59" s="224"/>
      <c r="E59" s="272" t="s">
        <v>508</v>
      </c>
      <c r="F59" s="273" t="s">
        <v>1132</v>
      </c>
      <c r="G59" s="215">
        <f t="shared" si="0"/>
        <v>187651.88</v>
      </c>
      <c r="H59" s="467">
        <v>187651.88</v>
      </c>
      <c r="I59" s="215">
        <f t="shared" si="1"/>
        <v>187651.88</v>
      </c>
      <c r="J59" s="464">
        <f>56295.56+107871.6+23484.72</f>
        <v>187651.88</v>
      </c>
      <c r="K59" s="289">
        <f t="shared" si="9"/>
        <v>0</v>
      </c>
      <c r="L59" s="462">
        <v>0</v>
      </c>
      <c r="M59" s="462">
        <f t="shared" si="6"/>
        <v>187651.88</v>
      </c>
      <c r="N59" s="229" t="s">
        <v>104</v>
      </c>
      <c r="O59" s="474">
        <f t="shared" si="7"/>
        <v>1</v>
      </c>
      <c r="P59" s="474">
        <f t="shared" si="8"/>
        <v>1</v>
      </c>
      <c r="Q59" s="231" t="s">
        <v>493</v>
      </c>
      <c r="R59" s="274">
        <v>19</v>
      </c>
      <c r="S59" s="233" t="s">
        <v>140</v>
      </c>
      <c r="T59" s="223" t="s">
        <v>690</v>
      </c>
      <c r="U59" s="223" t="s">
        <v>970</v>
      </c>
      <c r="V59" s="223" t="s">
        <v>971</v>
      </c>
      <c r="W59" s="223" t="s">
        <v>565</v>
      </c>
      <c r="X59" s="223" t="s">
        <v>748</v>
      </c>
    </row>
    <row r="60" spans="1:24" s="189" customFormat="1" ht="54.75" customHeight="1">
      <c r="A60" s="221" t="s">
        <v>100</v>
      </c>
      <c r="B60" s="250">
        <v>43292</v>
      </c>
      <c r="C60" s="223" t="s">
        <v>1133</v>
      </c>
      <c r="D60" s="224"/>
      <c r="E60" s="272" t="s">
        <v>577</v>
      </c>
      <c r="F60" s="273" t="s">
        <v>578</v>
      </c>
      <c r="G60" s="215">
        <f t="shared" si="0"/>
        <v>2040019.64</v>
      </c>
      <c r="H60" s="467">
        <v>2040019.64</v>
      </c>
      <c r="I60" s="215">
        <f t="shared" si="1"/>
        <v>2040019.64</v>
      </c>
      <c r="J60" s="464">
        <f>612005.89+809207.78+613748.9+5057.07</f>
        <v>2040019.64</v>
      </c>
      <c r="K60" s="289">
        <f t="shared" si="9"/>
        <v>0</v>
      </c>
      <c r="L60" s="462">
        <v>0</v>
      </c>
      <c r="M60" s="462">
        <f t="shared" si="6"/>
        <v>2040019.64</v>
      </c>
      <c r="N60" s="229" t="s">
        <v>104</v>
      </c>
      <c r="O60" s="474">
        <f t="shared" si="7"/>
        <v>1</v>
      </c>
      <c r="P60" s="474">
        <f t="shared" si="8"/>
        <v>1</v>
      </c>
      <c r="Q60" s="231" t="s">
        <v>493</v>
      </c>
      <c r="R60" s="274">
        <v>30</v>
      </c>
      <c r="S60" s="233" t="s">
        <v>160</v>
      </c>
      <c r="T60" s="223" t="s">
        <v>118</v>
      </c>
      <c r="U60" s="223" t="s">
        <v>565</v>
      </c>
      <c r="V60" s="223" t="s">
        <v>748</v>
      </c>
      <c r="W60" s="223" t="s">
        <v>737</v>
      </c>
      <c r="X60" s="223" t="s">
        <v>749</v>
      </c>
    </row>
    <row r="61" spans="1:24" s="189" customFormat="1" ht="54.75" customHeight="1">
      <c r="A61" s="221" t="s">
        <v>100</v>
      </c>
      <c r="B61" s="250">
        <v>43292</v>
      </c>
      <c r="C61" s="223" t="s">
        <v>1134</v>
      </c>
      <c r="D61" s="224"/>
      <c r="E61" s="272" t="s">
        <v>579</v>
      </c>
      <c r="F61" s="273" t="s">
        <v>580</v>
      </c>
      <c r="G61" s="215">
        <f t="shared" si="0"/>
        <v>1304000.06</v>
      </c>
      <c r="H61" s="467">
        <v>1304000.06</v>
      </c>
      <c r="I61" s="215">
        <f t="shared" si="1"/>
        <v>1303999.76</v>
      </c>
      <c r="J61" s="464">
        <f>391200.02+427117.96+41045.57+371612.01+73024.2</f>
        <v>1303999.76</v>
      </c>
      <c r="K61" s="289">
        <f t="shared" si="9"/>
        <v>0.30000000004656613</v>
      </c>
      <c r="L61" s="462">
        <v>0</v>
      </c>
      <c r="M61" s="462">
        <f t="shared" si="6"/>
        <v>1303999.76</v>
      </c>
      <c r="N61" s="229" t="s">
        <v>104</v>
      </c>
      <c r="O61" s="474">
        <f t="shared" si="7"/>
        <v>0.99999976993866091</v>
      </c>
      <c r="P61" s="474">
        <f t="shared" si="8"/>
        <v>0.99999976993866091</v>
      </c>
      <c r="Q61" s="231" t="s">
        <v>493</v>
      </c>
      <c r="R61" s="274">
        <v>19</v>
      </c>
      <c r="S61" s="233" t="s">
        <v>140</v>
      </c>
      <c r="T61" s="223" t="s">
        <v>118</v>
      </c>
      <c r="U61" s="223" t="s">
        <v>737</v>
      </c>
      <c r="V61" s="223" t="s">
        <v>749</v>
      </c>
      <c r="W61" s="223" t="s">
        <v>750</v>
      </c>
      <c r="X61" s="223" t="s">
        <v>751</v>
      </c>
    </row>
    <row r="62" spans="1:24" s="189" customFormat="1" ht="54.75" customHeight="1">
      <c r="A62" s="221" t="s">
        <v>100</v>
      </c>
      <c r="B62" s="250">
        <v>43292</v>
      </c>
      <c r="C62" s="223" t="s">
        <v>1135</v>
      </c>
      <c r="D62" s="224"/>
      <c r="E62" s="272" t="s">
        <v>581</v>
      </c>
      <c r="F62" s="273" t="s">
        <v>582</v>
      </c>
      <c r="G62" s="215">
        <f t="shared" si="0"/>
        <v>1290117.51</v>
      </c>
      <c r="H62" s="467">
        <v>1290117.51</v>
      </c>
      <c r="I62" s="215">
        <f t="shared" si="1"/>
        <v>1290117.51</v>
      </c>
      <c r="J62" s="464">
        <f>387035.25+164798.59+122322.26+615961.41</f>
        <v>1290117.51</v>
      </c>
      <c r="K62" s="289">
        <f t="shared" si="9"/>
        <v>0</v>
      </c>
      <c r="L62" s="462">
        <v>0</v>
      </c>
      <c r="M62" s="462">
        <f t="shared" si="6"/>
        <v>1290117.51</v>
      </c>
      <c r="N62" s="229" t="s">
        <v>104</v>
      </c>
      <c r="O62" s="474">
        <f t="shared" si="7"/>
        <v>1</v>
      </c>
      <c r="P62" s="474">
        <f t="shared" si="8"/>
        <v>1</v>
      </c>
      <c r="Q62" s="231" t="s">
        <v>493</v>
      </c>
      <c r="R62" s="274">
        <v>19</v>
      </c>
      <c r="S62" s="233" t="s">
        <v>140</v>
      </c>
      <c r="T62" s="223" t="s">
        <v>118</v>
      </c>
      <c r="U62" s="223" t="s">
        <v>750</v>
      </c>
      <c r="V62" s="223" t="s">
        <v>751</v>
      </c>
      <c r="W62" s="223" t="s">
        <v>752</v>
      </c>
      <c r="X62" s="223" t="s">
        <v>753</v>
      </c>
    </row>
    <row r="63" spans="1:24" s="189" customFormat="1" ht="54.75" customHeight="1">
      <c r="A63" s="221" t="s">
        <v>100</v>
      </c>
      <c r="B63" s="250">
        <v>43292</v>
      </c>
      <c r="C63" s="223" t="s">
        <v>1136</v>
      </c>
      <c r="D63" s="224"/>
      <c r="E63" s="272" t="s">
        <v>583</v>
      </c>
      <c r="F63" s="273" t="s">
        <v>584</v>
      </c>
      <c r="G63" s="215">
        <f t="shared" si="0"/>
        <v>2630284.58</v>
      </c>
      <c r="H63" s="467">
        <v>2630284.58</v>
      </c>
      <c r="I63" s="215">
        <f t="shared" si="1"/>
        <v>2630284.58</v>
      </c>
      <c r="J63" s="464">
        <f>789085.37+374928.73+846245.25+620025.23</f>
        <v>2630284.58</v>
      </c>
      <c r="K63" s="289">
        <f t="shared" si="9"/>
        <v>0</v>
      </c>
      <c r="L63" s="462">
        <v>0</v>
      </c>
      <c r="M63" s="462">
        <f t="shared" si="6"/>
        <v>2630284.58</v>
      </c>
      <c r="N63" s="229" t="s">
        <v>104</v>
      </c>
      <c r="O63" s="474">
        <f t="shared" si="7"/>
        <v>1</v>
      </c>
      <c r="P63" s="474">
        <f t="shared" si="8"/>
        <v>1</v>
      </c>
      <c r="Q63" s="231" t="s">
        <v>493</v>
      </c>
      <c r="R63" s="274">
        <v>29</v>
      </c>
      <c r="S63" s="233" t="s">
        <v>158</v>
      </c>
      <c r="T63" s="223" t="s">
        <v>118</v>
      </c>
      <c r="U63" s="223" t="s">
        <v>752</v>
      </c>
      <c r="V63" s="223" t="s">
        <v>753</v>
      </c>
      <c r="W63" s="223" t="s">
        <v>972</v>
      </c>
      <c r="X63" s="223" t="s">
        <v>973</v>
      </c>
    </row>
    <row r="64" spans="1:24" s="189" customFormat="1" ht="54.75" customHeight="1">
      <c r="A64" s="221" t="s">
        <v>100</v>
      </c>
      <c r="B64" s="250">
        <v>43292</v>
      </c>
      <c r="C64" s="223" t="s">
        <v>1137</v>
      </c>
      <c r="D64" s="224"/>
      <c r="E64" s="272" t="s">
        <v>585</v>
      </c>
      <c r="F64" s="273" t="s">
        <v>586</v>
      </c>
      <c r="G64" s="215">
        <f t="shared" si="0"/>
        <v>2174923.4300000002</v>
      </c>
      <c r="H64" s="467">
        <v>2174923.4300000002</v>
      </c>
      <c r="I64" s="215">
        <f t="shared" si="1"/>
        <v>2174923.4299999997</v>
      </c>
      <c r="J64" s="464">
        <f>652477.03+1522446.4</f>
        <v>2174923.4299999997</v>
      </c>
      <c r="K64" s="289">
        <f t="shared" si="9"/>
        <v>0</v>
      </c>
      <c r="L64" s="462">
        <v>0</v>
      </c>
      <c r="M64" s="462">
        <f t="shared" si="6"/>
        <v>2174923.4299999997</v>
      </c>
      <c r="N64" s="229" t="s">
        <v>104</v>
      </c>
      <c r="O64" s="474">
        <f t="shared" si="7"/>
        <v>0.99999999999999978</v>
      </c>
      <c r="P64" s="474">
        <f t="shared" si="8"/>
        <v>0.99999999999999978</v>
      </c>
      <c r="Q64" s="231" t="s">
        <v>493</v>
      </c>
      <c r="R64" s="274">
        <v>24</v>
      </c>
      <c r="S64" s="233" t="s">
        <v>150</v>
      </c>
      <c r="T64" s="223" t="s">
        <v>118</v>
      </c>
      <c r="U64" s="223" t="s">
        <v>972</v>
      </c>
      <c r="V64" s="223" t="s">
        <v>973</v>
      </c>
      <c r="W64" s="223" t="s">
        <v>754</v>
      </c>
      <c r="X64" s="223" t="s">
        <v>755</v>
      </c>
    </row>
    <row r="65" spans="1:24" s="189" customFormat="1" ht="54.75" customHeight="1">
      <c r="A65" s="221" t="s">
        <v>100</v>
      </c>
      <c r="B65" s="250">
        <v>43292</v>
      </c>
      <c r="C65" s="223" t="s">
        <v>1138</v>
      </c>
      <c r="D65" s="224"/>
      <c r="E65" s="272" t="s">
        <v>587</v>
      </c>
      <c r="F65" s="273" t="s">
        <v>588</v>
      </c>
      <c r="G65" s="215">
        <f t="shared" si="0"/>
        <v>2449562.21</v>
      </c>
      <c r="H65" s="467">
        <v>2449562.21</v>
      </c>
      <c r="I65" s="215">
        <f t="shared" si="1"/>
        <v>2449562.21</v>
      </c>
      <c r="J65" s="464">
        <f>734868.66+428013.03+590558.21+652159.54+43962.77</f>
        <v>2449562.21</v>
      </c>
      <c r="K65" s="289">
        <f t="shared" si="9"/>
        <v>0</v>
      </c>
      <c r="L65" s="462">
        <v>0</v>
      </c>
      <c r="M65" s="462">
        <f t="shared" si="6"/>
        <v>2449562.21</v>
      </c>
      <c r="N65" s="229" t="s">
        <v>104</v>
      </c>
      <c r="O65" s="474">
        <f t="shared" si="7"/>
        <v>1</v>
      </c>
      <c r="P65" s="474">
        <f t="shared" si="8"/>
        <v>1</v>
      </c>
      <c r="Q65" s="231" t="s">
        <v>493</v>
      </c>
      <c r="R65" s="274">
        <v>27</v>
      </c>
      <c r="S65" s="233" t="s">
        <v>154</v>
      </c>
      <c r="T65" s="223" t="s">
        <v>118</v>
      </c>
      <c r="U65" s="223" t="s">
        <v>754</v>
      </c>
      <c r="V65" s="223" t="s">
        <v>755</v>
      </c>
      <c r="W65" s="223" t="s">
        <v>974</v>
      </c>
      <c r="X65" s="223" t="s">
        <v>975</v>
      </c>
    </row>
    <row r="66" spans="1:24" s="189" customFormat="1" ht="54.75" customHeight="1">
      <c r="A66" s="221" t="s">
        <v>100</v>
      </c>
      <c r="B66" s="250">
        <v>43292</v>
      </c>
      <c r="C66" s="223" t="s">
        <v>1139</v>
      </c>
      <c r="D66" s="224"/>
      <c r="E66" s="272" t="s">
        <v>589</v>
      </c>
      <c r="F66" s="273" t="s">
        <v>590</v>
      </c>
      <c r="G66" s="215">
        <f t="shared" si="0"/>
        <v>2330198.2799999998</v>
      </c>
      <c r="H66" s="467">
        <v>2330198.2799999998</v>
      </c>
      <c r="I66" s="215">
        <f t="shared" si="1"/>
        <v>2330198.2599999998</v>
      </c>
      <c r="J66" s="464">
        <f>699059.46+1631138.8</f>
        <v>2330198.2599999998</v>
      </c>
      <c r="K66" s="289">
        <f t="shared" si="9"/>
        <v>2.0000000018626451E-2</v>
      </c>
      <c r="L66" s="462">
        <v>0</v>
      </c>
      <c r="M66" s="462">
        <f t="shared" si="6"/>
        <v>2330198.2599999998</v>
      </c>
      <c r="N66" s="229" t="s">
        <v>104</v>
      </c>
      <c r="O66" s="474">
        <f t="shared" si="7"/>
        <v>0.99999999141703944</v>
      </c>
      <c r="P66" s="474">
        <f t="shared" si="8"/>
        <v>0.99999999141703944</v>
      </c>
      <c r="Q66" s="231" t="s">
        <v>493</v>
      </c>
      <c r="R66" s="274">
        <v>26</v>
      </c>
      <c r="S66" s="233" t="s">
        <v>153</v>
      </c>
      <c r="T66" s="223" t="s">
        <v>118</v>
      </c>
      <c r="U66" s="223" t="s">
        <v>974</v>
      </c>
      <c r="V66" s="223" t="s">
        <v>975</v>
      </c>
      <c r="W66" s="223" t="s">
        <v>756</v>
      </c>
      <c r="X66" s="223" t="s">
        <v>757</v>
      </c>
    </row>
    <row r="67" spans="1:24" s="189" customFormat="1" ht="54.75" customHeight="1">
      <c r="A67" s="221" t="s">
        <v>100</v>
      </c>
      <c r="B67" s="250">
        <v>43292</v>
      </c>
      <c r="C67" s="223" t="s">
        <v>1140</v>
      </c>
      <c r="D67" s="224"/>
      <c r="E67" s="272" t="s">
        <v>591</v>
      </c>
      <c r="F67" s="273" t="s">
        <v>592</v>
      </c>
      <c r="G67" s="215">
        <f t="shared" si="0"/>
        <v>2350461.31</v>
      </c>
      <c r="H67" s="467">
        <v>2350461.31</v>
      </c>
      <c r="I67" s="215">
        <f t="shared" si="1"/>
        <v>2350461.31</v>
      </c>
      <c r="J67" s="464">
        <f>705138.39+383984.36+1196707.78+64630.78</f>
        <v>2350461.31</v>
      </c>
      <c r="K67" s="289">
        <f t="shared" si="9"/>
        <v>0</v>
      </c>
      <c r="L67" s="462">
        <v>0</v>
      </c>
      <c r="M67" s="462">
        <f t="shared" si="6"/>
        <v>2350461.31</v>
      </c>
      <c r="N67" s="229" t="s">
        <v>104</v>
      </c>
      <c r="O67" s="474">
        <f t="shared" si="7"/>
        <v>1</v>
      </c>
      <c r="P67" s="474">
        <f t="shared" si="8"/>
        <v>1</v>
      </c>
      <c r="Q67" s="231" t="s">
        <v>493</v>
      </c>
      <c r="R67" s="274">
        <v>26</v>
      </c>
      <c r="S67" s="233" t="s">
        <v>153</v>
      </c>
      <c r="T67" s="223" t="s">
        <v>118</v>
      </c>
      <c r="U67" s="223" t="s">
        <v>756</v>
      </c>
      <c r="V67" s="223" t="s">
        <v>757</v>
      </c>
      <c r="W67" s="223" t="s">
        <v>758</v>
      </c>
      <c r="X67" s="223" t="s">
        <v>759</v>
      </c>
    </row>
    <row r="68" spans="1:24" s="189" customFormat="1" ht="54.75" customHeight="1">
      <c r="A68" s="221" t="s">
        <v>100</v>
      </c>
      <c r="B68" s="250">
        <v>43293</v>
      </c>
      <c r="C68" s="223" t="s">
        <v>1141</v>
      </c>
      <c r="D68" s="224"/>
      <c r="E68" s="272" t="s">
        <v>593</v>
      </c>
      <c r="F68" s="273" t="s">
        <v>1142</v>
      </c>
      <c r="G68" s="215">
        <f t="shared" si="0"/>
        <v>445983.1</v>
      </c>
      <c r="H68" s="467">
        <v>445983.1</v>
      </c>
      <c r="I68" s="215">
        <f t="shared" si="1"/>
        <v>445983.1</v>
      </c>
      <c r="J68" s="464">
        <f>214973.69+63746.78+61191.22+106071.41</f>
        <v>445983.1</v>
      </c>
      <c r="K68" s="289">
        <f t="shared" si="9"/>
        <v>0</v>
      </c>
      <c r="L68" s="462">
        <v>0</v>
      </c>
      <c r="M68" s="462">
        <f t="shared" si="6"/>
        <v>445983.1</v>
      </c>
      <c r="N68" s="229" t="s">
        <v>104</v>
      </c>
      <c r="O68" s="474">
        <f t="shared" si="7"/>
        <v>1</v>
      </c>
      <c r="P68" s="474">
        <f t="shared" si="8"/>
        <v>1</v>
      </c>
      <c r="Q68" s="231" t="s">
        <v>37</v>
      </c>
      <c r="R68" s="274">
        <v>1</v>
      </c>
      <c r="S68" s="233" t="s">
        <v>368</v>
      </c>
      <c r="T68" s="223" t="s">
        <v>690</v>
      </c>
      <c r="U68" s="223" t="s">
        <v>758</v>
      </c>
      <c r="V68" s="223" t="s">
        <v>759</v>
      </c>
      <c r="W68" s="223" t="s">
        <v>760</v>
      </c>
      <c r="X68" s="223" t="s">
        <v>761</v>
      </c>
    </row>
    <row r="69" spans="1:24" s="189" customFormat="1" ht="54.75" customHeight="1">
      <c r="A69" s="221" t="s">
        <v>100</v>
      </c>
      <c r="B69" s="250">
        <v>43293</v>
      </c>
      <c r="C69" s="223" t="s">
        <v>1143</v>
      </c>
      <c r="D69" s="224"/>
      <c r="E69" s="272" t="s">
        <v>594</v>
      </c>
      <c r="F69" s="273" t="s">
        <v>1144</v>
      </c>
      <c r="G69" s="215">
        <f t="shared" si="0"/>
        <v>624333.61</v>
      </c>
      <c r="H69" s="467">
        <v>624333.61</v>
      </c>
      <c r="I69" s="215">
        <f t="shared" si="1"/>
        <v>624333.61</v>
      </c>
      <c r="J69" s="464">
        <f>310555.29+226331.94+66997.08+20449.3</f>
        <v>624333.61</v>
      </c>
      <c r="K69" s="289">
        <f t="shared" si="9"/>
        <v>0</v>
      </c>
      <c r="L69" s="462">
        <v>0</v>
      </c>
      <c r="M69" s="462">
        <f t="shared" si="6"/>
        <v>624333.61</v>
      </c>
      <c r="N69" s="229" t="s">
        <v>104</v>
      </c>
      <c r="O69" s="474">
        <f t="shared" si="7"/>
        <v>1</v>
      </c>
      <c r="P69" s="474">
        <f t="shared" si="8"/>
        <v>1</v>
      </c>
      <c r="Q69" s="231" t="s">
        <v>37</v>
      </c>
      <c r="R69" s="274">
        <v>1</v>
      </c>
      <c r="S69" s="233" t="s">
        <v>595</v>
      </c>
      <c r="T69" s="223" t="s">
        <v>690</v>
      </c>
      <c r="U69" s="223" t="s">
        <v>760</v>
      </c>
      <c r="V69" s="223" t="s">
        <v>761</v>
      </c>
      <c r="W69" s="223" t="s">
        <v>762</v>
      </c>
      <c r="X69" s="223" t="s">
        <v>763</v>
      </c>
    </row>
    <row r="70" spans="1:24" s="189" customFormat="1" ht="54.75" customHeight="1">
      <c r="A70" s="221" t="s">
        <v>100</v>
      </c>
      <c r="B70" s="250">
        <v>43293</v>
      </c>
      <c r="C70" s="223" t="s">
        <v>1145</v>
      </c>
      <c r="D70" s="224"/>
      <c r="E70" s="272" t="s">
        <v>596</v>
      </c>
      <c r="F70" s="273" t="s">
        <v>1146</v>
      </c>
      <c r="G70" s="215">
        <f t="shared" si="0"/>
        <v>640486.19999999995</v>
      </c>
      <c r="H70" s="467">
        <v>640486.19999999995</v>
      </c>
      <c r="I70" s="215">
        <f t="shared" si="1"/>
        <v>640486.19999999995</v>
      </c>
      <c r="J70" s="464">
        <f>320243.1+271271.64+33131.13+15840.33</f>
        <v>640486.19999999995</v>
      </c>
      <c r="K70" s="289">
        <f t="shared" si="9"/>
        <v>0</v>
      </c>
      <c r="L70" s="462">
        <v>0</v>
      </c>
      <c r="M70" s="462">
        <f t="shared" si="6"/>
        <v>640486.19999999995</v>
      </c>
      <c r="N70" s="229" t="s">
        <v>104</v>
      </c>
      <c r="O70" s="474">
        <f t="shared" si="7"/>
        <v>1</v>
      </c>
      <c r="P70" s="474">
        <f t="shared" si="8"/>
        <v>1</v>
      </c>
      <c r="Q70" s="231" t="s">
        <v>37</v>
      </c>
      <c r="R70" s="274">
        <v>1</v>
      </c>
      <c r="S70" s="233" t="s">
        <v>597</v>
      </c>
      <c r="T70" s="223" t="s">
        <v>690</v>
      </c>
      <c r="U70" s="223" t="s">
        <v>762</v>
      </c>
      <c r="V70" s="223" t="s">
        <v>763</v>
      </c>
      <c r="W70" s="223" t="s">
        <v>559</v>
      </c>
      <c r="X70" s="223" t="s">
        <v>764</v>
      </c>
    </row>
    <row r="71" spans="1:24" s="189" customFormat="1" ht="54.75" customHeight="1">
      <c r="A71" s="221" t="s">
        <v>100</v>
      </c>
      <c r="B71" s="250">
        <v>43293</v>
      </c>
      <c r="C71" s="223" t="s">
        <v>598</v>
      </c>
      <c r="D71" s="224"/>
      <c r="E71" s="272" t="s">
        <v>599</v>
      </c>
      <c r="F71" s="273" t="s">
        <v>600</v>
      </c>
      <c r="G71" s="215">
        <f t="shared" si="0"/>
        <v>617187</v>
      </c>
      <c r="H71" s="467">
        <v>617187</v>
      </c>
      <c r="I71" s="215">
        <f t="shared" si="1"/>
        <v>617187.32999999996</v>
      </c>
      <c r="J71" s="464">
        <f>303331.29+297139.7+16716.34</f>
        <v>617187.32999999996</v>
      </c>
      <c r="K71" s="289">
        <f t="shared" si="9"/>
        <v>-0.32999999995809048</v>
      </c>
      <c r="L71" s="462">
        <v>0</v>
      </c>
      <c r="M71" s="462">
        <f t="shared" si="6"/>
        <v>617187.32999999996</v>
      </c>
      <c r="N71" s="229" t="s">
        <v>104</v>
      </c>
      <c r="O71" s="474">
        <f t="shared" si="7"/>
        <v>1.0000005346839773</v>
      </c>
      <c r="P71" s="474">
        <f t="shared" si="8"/>
        <v>1.0000005346839773</v>
      </c>
      <c r="Q71" s="231" t="s">
        <v>37</v>
      </c>
      <c r="R71" s="274">
        <v>1</v>
      </c>
      <c r="S71" s="233" t="s">
        <v>601</v>
      </c>
      <c r="T71" s="223" t="s">
        <v>690</v>
      </c>
      <c r="U71" s="223" t="s">
        <v>559</v>
      </c>
      <c r="V71" s="223" t="s">
        <v>764</v>
      </c>
      <c r="W71" s="223" t="s">
        <v>970</v>
      </c>
      <c r="X71" s="223" t="s">
        <v>976</v>
      </c>
    </row>
    <row r="72" spans="1:24" s="189" customFormat="1" ht="54.75" customHeight="1">
      <c r="A72" s="221" t="s">
        <v>100</v>
      </c>
      <c r="B72" s="250">
        <v>43293</v>
      </c>
      <c r="C72" s="223" t="s">
        <v>1147</v>
      </c>
      <c r="D72" s="224"/>
      <c r="E72" s="272" t="s">
        <v>602</v>
      </c>
      <c r="F72" s="273" t="s">
        <v>1148</v>
      </c>
      <c r="G72" s="215">
        <f t="shared" si="0"/>
        <v>712698.23</v>
      </c>
      <c r="H72" s="467">
        <v>712698.23</v>
      </c>
      <c r="I72" s="215">
        <f t="shared" si="1"/>
        <v>712698.23</v>
      </c>
      <c r="J72" s="464">
        <f>331865.51+200162.4+95125.45+35992.47+49552.4</f>
        <v>712698.23</v>
      </c>
      <c r="K72" s="289">
        <f t="shared" si="9"/>
        <v>0</v>
      </c>
      <c r="L72" s="462">
        <v>0</v>
      </c>
      <c r="M72" s="462">
        <f t="shared" si="6"/>
        <v>712698.23</v>
      </c>
      <c r="N72" s="229" t="s">
        <v>104</v>
      </c>
      <c r="O72" s="474">
        <f t="shared" si="7"/>
        <v>1</v>
      </c>
      <c r="P72" s="474">
        <f t="shared" si="8"/>
        <v>1</v>
      </c>
      <c r="Q72" s="231" t="s">
        <v>37</v>
      </c>
      <c r="R72" s="274">
        <v>1</v>
      </c>
      <c r="S72" s="233" t="s">
        <v>603</v>
      </c>
      <c r="T72" s="223" t="s">
        <v>690</v>
      </c>
      <c r="U72" s="223" t="s">
        <v>970</v>
      </c>
      <c r="V72" s="223" t="s">
        <v>976</v>
      </c>
      <c r="W72" s="223" t="s">
        <v>977</v>
      </c>
      <c r="X72" s="223" t="s">
        <v>978</v>
      </c>
    </row>
    <row r="73" spans="1:24" s="189" customFormat="1" ht="54.75" customHeight="1">
      <c r="A73" s="221" t="s">
        <v>411</v>
      </c>
      <c r="B73" s="250">
        <v>43298</v>
      </c>
      <c r="C73" s="223" t="s">
        <v>1149</v>
      </c>
      <c r="D73" s="224"/>
      <c r="E73" s="272" t="s">
        <v>604</v>
      </c>
      <c r="F73" s="273" t="s">
        <v>914</v>
      </c>
      <c r="G73" s="215">
        <f t="shared" si="0"/>
        <v>3483621.88</v>
      </c>
      <c r="H73" s="467">
        <v>3483621.88</v>
      </c>
      <c r="I73" s="215">
        <f t="shared" si="1"/>
        <v>3483621.88</v>
      </c>
      <c r="J73" s="464">
        <f>803912.74+608837.6+2070871.54</f>
        <v>3483621.88</v>
      </c>
      <c r="K73" s="289">
        <f t="shared" si="9"/>
        <v>0</v>
      </c>
      <c r="L73" s="462">
        <v>0</v>
      </c>
      <c r="M73" s="462">
        <f t="shared" si="6"/>
        <v>3483621.88</v>
      </c>
      <c r="N73" s="229" t="s">
        <v>104</v>
      </c>
      <c r="O73" s="474">
        <f t="shared" si="7"/>
        <v>1</v>
      </c>
      <c r="P73" s="474">
        <f t="shared" si="8"/>
        <v>1</v>
      </c>
      <c r="Q73" s="231" t="s">
        <v>413</v>
      </c>
      <c r="R73" s="274">
        <v>977.15</v>
      </c>
      <c r="S73" s="233" t="s">
        <v>605</v>
      </c>
      <c r="T73" s="223" t="s">
        <v>543</v>
      </c>
      <c r="U73" s="223" t="s">
        <v>977</v>
      </c>
      <c r="V73" s="223" t="s">
        <v>978</v>
      </c>
      <c r="W73" s="223" t="s">
        <v>760</v>
      </c>
      <c r="X73" s="223" t="s">
        <v>979</v>
      </c>
    </row>
    <row r="74" spans="1:24" s="189" customFormat="1" ht="54.75" customHeight="1">
      <c r="A74" s="221" t="s">
        <v>100</v>
      </c>
      <c r="B74" s="250">
        <v>43308</v>
      </c>
      <c r="C74" s="223" t="s">
        <v>1150</v>
      </c>
      <c r="D74" s="224"/>
      <c r="E74" s="272" t="s">
        <v>606</v>
      </c>
      <c r="F74" s="273" t="s">
        <v>1151</v>
      </c>
      <c r="G74" s="215">
        <f t="shared" si="0"/>
        <v>631886.41</v>
      </c>
      <c r="H74" s="467">
        <v>631886.41</v>
      </c>
      <c r="I74" s="215">
        <f t="shared" si="1"/>
        <v>631886.41</v>
      </c>
      <c r="J74" s="464">
        <f>315943.21+302521.85+13421.35</f>
        <v>631886.41</v>
      </c>
      <c r="K74" s="289">
        <f t="shared" si="9"/>
        <v>0</v>
      </c>
      <c r="L74" s="462">
        <v>0</v>
      </c>
      <c r="M74" s="462">
        <f t="shared" si="6"/>
        <v>631886.41</v>
      </c>
      <c r="N74" s="229" t="s">
        <v>104</v>
      </c>
      <c r="O74" s="474">
        <f t="shared" si="7"/>
        <v>1</v>
      </c>
      <c r="P74" s="474">
        <f t="shared" si="8"/>
        <v>1</v>
      </c>
      <c r="Q74" s="231" t="s">
        <v>37</v>
      </c>
      <c r="R74" s="274">
        <v>1</v>
      </c>
      <c r="S74" s="233" t="s">
        <v>607</v>
      </c>
      <c r="T74" s="223" t="s">
        <v>690</v>
      </c>
      <c r="U74" s="223" t="s">
        <v>760</v>
      </c>
      <c r="V74" s="223" t="s">
        <v>979</v>
      </c>
      <c r="W74" s="223" t="s">
        <v>765</v>
      </c>
      <c r="X74" s="223" t="s">
        <v>766</v>
      </c>
    </row>
    <row r="75" spans="1:24" s="189" customFormat="1" ht="54.75" customHeight="1">
      <c r="A75" s="221" t="s">
        <v>100</v>
      </c>
      <c r="B75" s="250">
        <v>43308</v>
      </c>
      <c r="C75" s="223" t="s">
        <v>1152</v>
      </c>
      <c r="D75" s="224"/>
      <c r="E75" s="272" t="s">
        <v>608</v>
      </c>
      <c r="F75" s="273" t="s">
        <v>1153</v>
      </c>
      <c r="G75" s="215">
        <f t="shared" si="0"/>
        <v>607198.71</v>
      </c>
      <c r="H75" s="467">
        <v>607198.71</v>
      </c>
      <c r="I75" s="215">
        <f t="shared" si="1"/>
        <v>607198.71000000008</v>
      </c>
      <c r="J75" s="464">
        <f>299760.98+283101.65+19321.81+5014.27</f>
        <v>607198.71000000008</v>
      </c>
      <c r="K75" s="289">
        <f t="shared" si="9"/>
        <v>0</v>
      </c>
      <c r="L75" s="462">
        <v>0</v>
      </c>
      <c r="M75" s="462">
        <f t="shared" si="6"/>
        <v>607198.71000000008</v>
      </c>
      <c r="N75" s="229" t="s">
        <v>104</v>
      </c>
      <c r="O75" s="474">
        <f t="shared" si="7"/>
        <v>1.0000000000000002</v>
      </c>
      <c r="P75" s="474">
        <f t="shared" si="8"/>
        <v>1.0000000000000002</v>
      </c>
      <c r="Q75" s="231" t="s">
        <v>37</v>
      </c>
      <c r="R75" s="274">
        <v>1</v>
      </c>
      <c r="S75" s="233" t="s">
        <v>609</v>
      </c>
      <c r="T75" s="223" t="s">
        <v>690</v>
      </c>
      <c r="U75" s="223" t="s">
        <v>765</v>
      </c>
      <c r="V75" s="223" t="s">
        <v>766</v>
      </c>
      <c r="W75" s="223" t="s">
        <v>980</v>
      </c>
      <c r="X75" s="223" t="s">
        <v>981</v>
      </c>
    </row>
    <row r="76" spans="1:24" s="189" customFormat="1" ht="54.75" customHeight="1">
      <c r="A76" s="221" t="s">
        <v>100</v>
      </c>
      <c r="B76" s="250">
        <v>43301</v>
      </c>
      <c r="C76" s="223" t="s">
        <v>1154</v>
      </c>
      <c r="D76" s="224"/>
      <c r="E76" s="272" t="s">
        <v>610</v>
      </c>
      <c r="F76" s="273" t="s">
        <v>1155</v>
      </c>
      <c r="G76" s="215">
        <f t="shared" si="0"/>
        <v>613013.43999999994</v>
      </c>
      <c r="H76" s="467">
        <v>613013.43999999994</v>
      </c>
      <c r="I76" s="215">
        <f t="shared" si="1"/>
        <v>613013.42999999993</v>
      </c>
      <c r="J76" s="464">
        <f>298045.79+314967.64</f>
        <v>613013.42999999993</v>
      </c>
      <c r="K76" s="289">
        <f t="shared" si="9"/>
        <v>1.0000000009313226E-2</v>
      </c>
      <c r="L76" s="462">
        <v>0</v>
      </c>
      <c r="M76" s="462">
        <f t="shared" si="6"/>
        <v>613013.42999999993</v>
      </c>
      <c r="N76" s="229" t="s">
        <v>104</v>
      </c>
      <c r="O76" s="474">
        <f t="shared" si="7"/>
        <v>0.99999998368714393</v>
      </c>
      <c r="P76" s="474">
        <f t="shared" si="8"/>
        <v>0.99999998368714393</v>
      </c>
      <c r="Q76" s="231" t="s">
        <v>37</v>
      </c>
      <c r="R76" s="274">
        <v>1</v>
      </c>
      <c r="S76" s="233" t="s">
        <v>611</v>
      </c>
      <c r="T76" s="223" t="s">
        <v>690</v>
      </c>
      <c r="U76" s="223" t="s">
        <v>980</v>
      </c>
      <c r="V76" s="223" t="s">
        <v>981</v>
      </c>
      <c r="W76" s="223" t="s">
        <v>982</v>
      </c>
      <c r="X76" s="223" t="s">
        <v>983</v>
      </c>
    </row>
    <row r="77" spans="1:24" s="189" customFormat="1" ht="54.75" customHeight="1">
      <c r="A77" s="221" t="s">
        <v>100</v>
      </c>
      <c r="B77" s="250">
        <v>43301</v>
      </c>
      <c r="C77" s="223" t="s">
        <v>612</v>
      </c>
      <c r="D77" s="224"/>
      <c r="E77" s="272" t="s">
        <v>613</v>
      </c>
      <c r="F77" s="273" t="s">
        <v>614</v>
      </c>
      <c r="G77" s="215">
        <f t="shared" si="0"/>
        <v>613387</v>
      </c>
      <c r="H77" s="467">
        <v>613387</v>
      </c>
      <c r="I77" s="215">
        <f t="shared" si="1"/>
        <v>613387.35</v>
      </c>
      <c r="J77" s="464">
        <f>306693.67+273127.75+33565.93</f>
        <v>613387.35</v>
      </c>
      <c r="K77" s="289">
        <f t="shared" si="9"/>
        <v>-0.34999999997671694</v>
      </c>
      <c r="L77" s="462">
        <v>0</v>
      </c>
      <c r="M77" s="462">
        <f t="shared" si="6"/>
        <v>613387.35</v>
      </c>
      <c r="N77" s="229" t="s">
        <v>104</v>
      </c>
      <c r="O77" s="474">
        <f t="shared" si="7"/>
        <v>1.0000005706022461</v>
      </c>
      <c r="P77" s="474">
        <f t="shared" si="8"/>
        <v>1.0000005706022461</v>
      </c>
      <c r="Q77" s="231" t="s">
        <v>37</v>
      </c>
      <c r="R77" s="274">
        <v>1</v>
      </c>
      <c r="S77" s="233" t="s">
        <v>615</v>
      </c>
      <c r="T77" s="223" t="s">
        <v>690</v>
      </c>
      <c r="U77" s="223" t="s">
        <v>982</v>
      </c>
      <c r="V77" s="223" t="s">
        <v>983</v>
      </c>
      <c r="W77" s="223" t="s">
        <v>353</v>
      </c>
      <c r="X77" s="223" t="s">
        <v>984</v>
      </c>
    </row>
    <row r="78" spans="1:24" s="189" customFormat="1" ht="54.75" customHeight="1">
      <c r="A78" s="221" t="s">
        <v>100</v>
      </c>
      <c r="B78" s="250">
        <v>43307</v>
      </c>
      <c r="C78" s="223" t="s">
        <v>1156</v>
      </c>
      <c r="D78" s="224"/>
      <c r="E78" s="272" t="s">
        <v>616</v>
      </c>
      <c r="F78" s="273" t="s">
        <v>1157</v>
      </c>
      <c r="G78" s="215">
        <f t="shared" si="0"/>
        <v>402633.42</v>
      </c>
      <c r="H78" s="467">
        <v>402633.42</v>
      </c>
      <c r="I78" s="215">
        <f t="shared" si="1"/>
        <v>402633.42</v>
      </c>
      <c r="J78" s="464">
        <f>386145.25+16488.17</f>
        <v>402633.42</v>
      </c>
      <c r="K78" s="289">
        <f t="shared" si="9"/>
        <v>0</v>
      </c>
      <c r="L78" s="462">
        <v>0</v>
      </c>
      <c r="M78" s="462">
        <f t="shared" si="6"/>
        <v>402633.42</v>
      </c>
      <c r="N78" s="229" t="s">
        <v>104</v>
      </c>
      <c r="O78" s="474">
        <f t="shared" si="7"/>
        <v>1</v>
      </c>
      <c r="P78" s="474">
        <f t="shared" si="8"/>
        <v>1</v>
      </c>
      <c r="Q78" s="231" t="s">
        <v>37</v>
      </c>
      <c r="R78" s="274">
        <v>1</v>
      </c>
      <c r="S78" s="233" t="s">
        <v>617</v>
      </c>
      <c r="T78" s="223" t="s">
        <v>690</v>
      </c>
      <c r="U78" s="223" t="s">
        <v>353</v>
      </c>
      <c r="V78" s="223" t="s">
        <v>984</v>
      </c>
      <c r="W78" s="223" t="s">
        <v>985</v>
      </c>
      <c r="X78" s="223" t="s">
        <v>986</v>
      </c>
    </row>
    <row r="79" spans="1:24" s="189" customFormat="1" ht="54.75" customHeight="1">
      <c r="A79" s="221" t="s">
        <v>100</v>
      </c>
      <c r="B79" s="250">
        <v>43307</v>
      </c>
      <c r="C79" s="223" t="s">
        <v>1158</v>
      </c>
      <c r="D79" s="224"/>
      <c r="E79" s="272" t="s">
        <v>618</v>
      </c>
      <c r="F79" s="273" t="s">
        <v>1159</v>
      </c>
      <c r="G79" s="215">
        <f t="shared" si="0"/>
        <v>285268.59999999998</v>
      </c>
      <c r="H79" s="467">
        <v>285268.59999999998</v>
      </c>
      <c r="I79" s="215">
        <f t="shared" si="1"/>
        <v>285268.59999999998</v>
      </c>
      <c r="J79" s="464">
        <f>139085.89+134984.11+11198.6</f>
        <v>285268.59999999998</v>
      </c>
      <c r="K79" s="289">
        <f t="shared" si="9"/>
        <v>0</v>
      </c>
      <c r="L79" s="462">
        <v>0</v>
      </c>
      <c r="M79" s="462">
        <f t="shared" si="6"/>
        <v>285268.59999999998</v>
      </c>
      <c r="N79" s="229" t="s">
        <v>104</v>
      </c>
      <c r="O79" s="474">
        <f t="shared" si="7"/>
        <v>1</v>
      </c>
      <c r="P79" s="474">
        <f t="shared" si="8"/>
        <v>1</v>
      </c>
      <c r="Q79" s="231" t="s">
        <v>37</v>
      </c>
      <c r="R79" s="274">
        <v>1</v>
      </c>
      <c r="S79" s="233" t="s">
        <v>619</v>
      </c>
      <c r="T79" s="223" t="s">
        <v>70</v>
      </c>
      <c r="U79" s="223" t="s">
        <v>985</v>
      </c>
      <c r="V79" s="223" t="s">
        <v>986</v>
      </c>
      <c r="W79" s="223" t="s">
        <v>767</v>
      </c>
      <c r="X79" s="223" t="s">
        <v>768</v>
      </c>
    </row>
    <row r="80" spans="1:24" s="189" customFormat="1" ht="54.75" customHeight="1">
      <c r="A80" s="221" t="s">
        <v>100</v>
      </c>
      <c r="B80" s="250">
        <v>43306</v>
      </c>
      <c r="C80" s="223" t="s">
        <v>1160</v>
      </c>
      <c r="D80" s="224"/>
      <c r="E80" s="272" t="s">
        <v>620</v>
      </c>
      <c r="F80" s="273" t="s">
        <v>1161</v>
      </c>
      <c r="G80" s="215">
        <f t="shared" si="0"/>
        <v>619110.97</v>
      </c>
      <c r="H80" s="467">
        <v>619110.97</v>
      </c>
      <c r="I80" s="215">
        <f t="shared" si="1"/>
        <v>619110.97</v>
      </c>
      <c r="J80" s="464">
        <f>301743.65+311120.09+6247.23</f>
        <v>619110.97</v>
      </c>
      <c r="K80" s="289">
        <f t="shared" si="9"/>
        <v>0</v>
      </c>
      <c r="L80" s="462">
        <v>0</v>
      </c>
      <c r="M80" s="462">
        <f t="shared" si="6"/>
        <v>619110.97</v>
      </c>
      <c r="N80" s="229" t="s">
        <v>104</v>
      </c>
      <c r="O80" s="474">
        <f t="shared" si="7"/>
        <v>1</v>
      </c>
      <c r="P80" s="474">
        <f t="shared" si="8"/>
        <v>1</v>
      </c>
      <c r="Q80" s="231" t="s">
        <v>37</v>
      </c>
      <c r="R80" s="274">
        <v>1</v>
      </c>
      <c r="S80" s="233" t="s">
        <v>416</v>
      </c>
      <c r="T80" s="223" t="s">
        <v>690</v>
      </c>
      <c r="U80" s="223" t="s">
        <v>767</v>
      </c>
      <c r="V80" s="223" t="s">
        <v>768</v>
      </c>
      <c r="W80" s="223" t="s">
        <v>565</v>
      </c>
      <c r="X80" s="223" t="s">
        <v>987</v>
      </c>
    </row>
    <row r="81" spans="1:24" s="189" customFormat="1" ht="54.75" customHeight="1">
      <c r="A81" s="221" t="s">
        <v>100</v>
      </c>
      <c r="B81" s="250">
        <v>43306</v>
      </c>
      <c r="C81" s="223" t="s">
        <v>1162</v>
      </c>
      <c r="D81" s="224"/>
      <c r="E81" s="272" t="s">
        <v>621</v>
      </c>
      <c r="F81" s="273" t="s">
        <v>1163</v>
      </c>
      <c r="G81" s="215">
        <f t="shared" si="0"/>
        <v>2435385.88</v>
      </c>
      <c r="H81" s="467">
        <v>2435385.88</v>
      </c>
      <c r="I81" s="215">
        <f t="shared" si="1"/>
        <v>2435385.8800000004</v>
      </c>
      <c r="J81" s="464">
        <f>730615.76+706294.15+997040.41+1435.56</f>
        <v>2435385.8800000004</v>
      </c>
      <c r="K81" s="289">
        <f t="shared" si="9"/>
        <v>0</v>
      </c>
      <c r="L81" s="462">
        <v>0</v>
      </c>
      <c r="M81" s="462">
        <f t="shared" ref="M81:M96" si="10">I81+L81</f>
        <v>2435385.8800000004</v>
      </c>
      <c r="N81" s="229" t="s">
        <v>104</v>
      </c>
      <c r="O81" s="474">
        <f t="shared" si="7"/>
        <v>1.0000000000000002</v>
      </c>
      <c r="P81" s="474">
        <f t="shared" si="8"/>
        <v>1.0000000000000002</v>
      </c>
      <c r="Q81" s="231" t="s">
        <v>493</v>
      </c>
      <c r="R81" s="274">
        <v>70</v>
      </c>
      <c r="S81" s="233" t="s">
        <v>251</v>
      </c>
      <c r="T81" s="223" t="s">
        <v>118</v>
      </c>
      <c r="U81" s="223" t="s">
        <v>565</v>
      </c>
      <c r="V81" s="223" t="s">
        <v>987</v>
      </c>
      <c r="W81" s="223" t="s">
        <v>988</v>
      </c>
      <c r="X81" s="223" t="s">
        <v>989</v>
      </c>
    </row>
    <row r="82" spans="1:24" s="189" customFormat="1" ht="54.75" customHeight="1">
      <c r="A82" s="221" t="s">
        <v>100</v>
      </c>
      <c r="B82" s="250">
        <v>43306</v>
      </c>
      <c r="C82" s="223" t="s">
        <v>1164</v>
      </c>
      <c r="D82" s="224"/>
      <c r="E82" s="272" t="s">
        <v>622</v>
      </c>
      <c r="F82" s="273" t="s">
        <v>1165</v>
      </c>
      <c r="G82" s="215">
        <f t="shared" si="0"/>
        <v>2109828.9900000002</v>
      </c>
      <c r="H82" s="467">
        <v>2109828.9900000002</v>
      </c>
      <c r="I82" s="215">
        <f t="shared" si="1"/>
        <v>2109828.89</v>
      </c>
      <c r="J82" s="464">
        <f>632948.67+372253.22+494237.32+406010.23+204379.45</f>
        <v>2109828.89</v>
      </c>
      <c r="K82" s="289">
        <f t="shared" si="9"/>
        <v>0.10000000009313226</v>
      </c>
      <c r="L82" s="462">
        <v>0</v>
      </c>
      <c r="M82" s="462">
        <f t="shared" si="10"/>
        <v>2109828.89</v>
      </c>
      <c r="N82" s="229" t="s">
        <v>104</v>
      </c>
      <c r="O82" s="474">
        <f t="shared" si="7"/>
        <v>0.99999995260279362</v>
      </c>
      <c r="P82" s="474">
        <f t="shared" si="8"/>
        <v>0.99999995260279362</v>
      </c>
      <c r="Q82" s="231" t="s">
        <v>493</v>
      </c>
      <c r="R82" s="274">
        <v>57</v>
      </c>
      <c r="S82" s="233" t="s">
        <v>623</v>
      </c>
      <c r="T82" s="223" t="s">
        <v>118</v>
      </c>
      <c r="U82" s="223" t="s">
        <v>988</v>
      </c>
      <c r="V82" s="223" t="s">
        <v>989</v>
      </c>
      <c r="W82" s="223" t="s">
        <v>353</v>
      </c>
      <c r="X82" s="223" t="s">
        <v>990</v>
      </c>
    </row>
    <row r="83" spans="1:24" s="189" customFormat="1" ht="54.75" customHeight="1">
      <c r="A83" s="221" t="s">
        <v>100</v>
      </c>
      <c r="B83" s="250">
        <v>43348</v>
      </c>
      <c r="C83" s="223" t="s">
        <v>1166</v>
      </c>
      <c r="D83" s="224"/>
      <c r="E83" s="272" t="s">
        <v>835</v>
      </c>
      <c r="F83" s="273" t="s">
        <v>1167</v>
      </c>
      <c r="G83" s="215">
        <f t="shared" si="0"/>
        <v>990001.26</v>
      </c>
      <c r="H83" s="467">
        <v>990001.26</v>
      </c>
      <c r="I83" s="215">
        <f t="shared" si="1"/>
        <v>990001.28000000014</v>
      </c>
      <c r="J83" s="464">
        <f>495000.64+22764.52+83812.8+236259.2+152164.12</f>
        <v>990001.28000000014</v>
      </c>
      <c r="K83" s="289">
        <f t="shared" si="9"/>
        <v>-2.0000000135041773E-2</v>
      </c>
      <c r="L83" s="462">
        <v>0</v>
      </c>
      <c r="M83" s="462">
        <f t="shared" si="10"/>
        <v>990001.28000000014</v>
      </c>
      <c r="N83" s="229" t="s">
        <v>104</v>
      </c>
      <c r="O83" s="474">
        <f t="shared" ref="O83:O96" si="11">I83/G83</f>
        <v>1.0000000202019945</v>
      </c>
      <c r="P83" s="474">
        <f t="shared" ref="P83:P96" si="12">J83/H83</f>
        <v>1.0000000202019945</v>
      </c>
      <c r="Q83" s="231" t="s">
        <v>37</v>
      </c>
      <c r="R83" s="274">
        <v>1</v>
      </c>
      <c r="S83" s="233" t="s">
        <v>305</v>
      </c>
      <c r="T83" s="223" t="s">
        <v>690</v>
      </c>
      <c r="U83" s="223" t="s">
        <v>353</v>
      </c>
      <c r="V83" s="223" t="s">
        <v>990</v>
      </c>
      <c r="W83" s="223" t="s">
        <v>575</v>
      </c>
      <c r="X83" s="223" t="s">
        <v>991</v>
      </c>
    </row>
    <row r="84" spans="1:24" s="189" customFormat="1" ht="54.75" customHeight="1">
      <c r="A84" s="221" t="s">
        <v>100</v>
      </c>
      <c r="B84" s="250">
        <v>43383</v>
      </c>
      <c r="C84" s="223" t="s">
        <v>1168</v>
      </c>
      <c r="D84" s="224"/>
      <c r="E84" s="272" t="s">
        <v>915</v>
      </c>
      <c r="F84" s="273" t="s">
        <v>1169</v>
      </c>
      <c r="G84" s="215">
        <f t="shared" si="0"/>
        <v>1400082.31</v>
      </c>
      <c r="H84" s="467">
        <v>1400082.31</v>
      </c>
      <c r="I84" s="215">
        <f t="shared" si="1"/>
        <v>1400082.31</v>
      </c>
      <c r="J84" s="464">
        <f>700041.16+264467.99+435573.16</f>
        <v>1400082.31</v>
      </c>
      <c r="K84" s="289">
        <f t="shared" ref="K84:K96" si="13">G84-I84</f>
        <v>0</v>
      </c>
      <c r="L84" s="462">
        <v>0</v>
      </c>
      <c r="M84" s="462">
        <f t="shared" si="10"/>
        <v>1400082.31</v>
      </c>
      <c r="N84" s="229" t="s">
        <v>104</v>
      </c>
      <c r="O84" s="474">
        <f t="shared" si="11"/>
        <v>1</v>
      </c>
      <c r="P84" s="474">
        <f t="shared" si="12"/>
        <v>1</v>
      </c>
      <c r="Q84" s="231" t="s">
        <v>493</v>
      </c>
      <c r="R84" s="274">
        <v>1</v>
      </c>
      <c r="S84" s="233" t="s">
        <v>143</v>
      </c>
      <c r="T84" s="223" t="s">
        <v>118</v>
      </c>
      <c r="U84" s="223" t="s">
        <v>575</v>
      </c>
      <c r="V84" s="223" t="s">
        <v>991</v>
      </c>
      <c r="W84" s="223" t="s">
        <v>730</v>
      </c>
      <c r="X84" s="223" t="s">
        <v>1170</v>
      </c>
    </row>
    <row r="85" spans="1:24" s="189" customFormat="1" ht="54.75" customHeight="1">
      <c r="A85" s="221" t="s">
        <v>100</v>
      </c>
      <c r="B85" s="250">
        <v>43433</v>
      </c>
      <c r="C85" s="223" t="s">
        <v>992</v>
      </c>
      <c r="D85" s="224"/>
      <c r="E85" s="272" t="s">
        <v>993</v>
      </c>
      <c r="F85" s="273" t="s">
        <v>994</v>
      </c>
      <c r="G85" s="215">
        <f t="shared" si="0"/>
        <v>171138</v>
      </c>
      <c r="H85" s="467">
        <v>171138</v>
      </c>
      <c r="I85" s="215">
        <f t="shared" si="1"/>
        <v>171138.07</v>
      </c>
      <c r="J85" s="464">
        <v>171138.07</v>
      </c>
      <c r="K85" s="289">
        <f t="shared" si="13"/>
        <v>-7.0000000006984919E-2</v>
      </c>
      <c r="L85" s="462">
        <v>0</v>
      </c>
      <c r="M85" s="462">
        <f t="shared" si="10"/>
        <v>171138.07</v>
      </c>
      <c r="N85" s="229" t="s">
        <v>104</v>
      </c>
      <c r="O85" s="474">
        <f t="shared" si="11"/>
        <v>1.0000004090266335</v>
      </c>
      <c r="P85" s="474">
        <f t="shared" si="12"/>
        <v>1.0000004090266335</v>
      </c>
      <c r="Q85" s="231" t="s">
        <v>995</v>
      </c>
      <c r="R85" s="274">
        <v>6</v>
      </c>
      <c r="S85" s="233" t="s">
        <v>491</v>
      </c>
      <c r="T85" s="223" t="s">
        <v>690</v>
      </c>
      <c r="U85" s="223" t="s">
        <v>730</v>
      </c>
      <c r="V85" s="223" t="s">
        <v>1170</v>
      </c>
      <c r="W85" s="223" t="s">
        <v>565</v>
      </c>
      <c r="X85" s="223" t="s">
        <v>1173</v>
      </c>
    </row>
    <row r="86" spans="1:24" s="189" customFormat="1" ht="54.75" customHeight="1">
      <c r="A86" s="221" t="s">
        <v>100</v>
      </c>
      <c r="B86" s="250">
        <v>43405</v>
      </c>
      <c r="C86" s="223" t="s">
        <v>1171</v>
      </c>
      <c r="D86" s="224"/>
      <c r="E86" s="272" t="s">
        <v>996</v>
      </c>
      <c r="F86" s="273" t="s">
        <v>1172</v>
      </c>
      <c r="G86" s="215">
        <f t="shared" si="0"/>
        <v>878721.89</v>
      </c>
      <c r="H86" s="467">
        <v>878721.89</v>
      </c>
      <c r="I86" s="215">
        <f t="shared" si="1"/>
        <v>878721.89</v>
      </c>
      <c r="J86" s="464">
        <v>878721.89</v>
      </c>
      <c r="K86" s="289">
        <f t="shared" si="13"/>
        <v>0</v>
      </c>
      <c r="L86" s="462">
        <v>0</v>
      </c>
      <c r="M86" s="462">
        <f t="shared" si="10"/>
        <v>878721.89</v>
      </c>
      <c r="N86" s="229" t="s">
        <v>104</v>
      </c>
      <c r="O86" s="474">
        <f t="shared" si="11"/>
        <v>1</v>
      </c>
      <c r="P86" s="474">
        <f t="shared" si="12"/>
        <v>1</v>
      </c>
      <c r="Q86" s="231" t="s">
        <v>493</v>
      </c>
      <c r="R86" s="274">
        <v>1</v>
      </c>
      <c r="S86" s="233" t="s">
        <v>128</v>
      </c>
      <c r="T86" s="223" t="s">
        <v>690</v>
      </c>
      <c r="U86" s="223" t="s">
        <v>565</v>
      </c>
      <c r="V86" s="223" t="s">
        <v>1173</v>
      </c>
      <c r="W86" s="223" t="s">
        <v>571</v>
      </c>
      <c r="X86" s="223" t="s">
        <v>1176</v>
      </c>
    </row>
    <row r="87" spans="1:24" s="189" customFormat="1" ht="54.75" customHeight="1">
      <c r="A87" s="221" t="s">
        <v>100</v>
      </c>
      <c r="B87" s="250">
        <v>43405</v>
      </c>
      <c r="C87" s="223" t="s">
        <v>1174</v>
      </c>
      <c r="D87" s="224"/>
      <c r="E87" s="272" t="s">
        <v>997</v>
      </c>
      <c r="F87" s="273" t="s">
        <v>1175</v>
      </c>
      <c r="G87" s="215">
        <f t="shared" si="0"/>
        <v>879136.28</v>
      </c>
      <c r="H87" s="467">
        <v>879136.28</v>
      </c>
      <c r="I87" s="215">
        <f t="shared" si="1"/>
        <v>879136.28</v>
      </c>
      <c r="J87" s="464">
        <v>879136.28</v>
      </c>
      <c r="K87" s="289">
        <f t="shared" si="13"/>
        <v>0</v>
      </c>
      <c r="L87" s="462">
        <v>0</v>
      </c>
      <c r="M87" s="462">
        <f t="shared" si="10"/>
        <v>879136.28</v>
      </c>
      <c r="N87" s="229" t="s">
        <v>104</v>
      </c>
      <c r="O87" s="474">
        <f t="shared" si="11"/>
        <v>1</v>
      </c>
      <c r="P87" s="474">
        <f t="shared" si="12"/>
        <v>1</v>
      </c>
      <c r="Q87" s="231" t="s">
        <v>493</v>
      </c>
      <c r="R87" s="274">
        <v>1</v>
      </c>
      <c r="S87" s="233" t="s">
        <v>128</v>
      </c>
      <c r="T87" s="223" t="s">
        <v>690</v>
      </c>
      <c r="U87" s="223" t="s">
        <v>571</v>
      </c>
      <c r="V87" s="223" t="s">
        <v>1176</v>
      </c>
      <c r="W87" s="223" t="s">
        <v>567</v>
      </c>
      <c r="X87" s="223" t="s">
        <v>1179</v>
      </c>
    </row>
    <row r="88" spans="1:24" s="189" customFormat="1" ht="54.75" customHeight="1">
      <c r="A88" s="221" t="s">
        <v>100</v>
      </c>
      <c r="B88" s="250">
        <v>43405</v>
      </c>
      <c r="C88" s="223" t="s">
        <v>1177</v>
      </c>
      <c r="D88" s="224"/>
      <c r="E88" s="272" t="s">
        <v>998</v>
      </c>
      <c r="F88" s="273" t="s">
        <v>1178</v>
      </c>
      <c r="G88" s="215">
        <f t="shared" si="0"/>
        <v>878634.25</v>
      </c>
      <c r="H88" s="467">
        <v>878634.25</v>
      </c>
      <c r="I88" s="215">
        <f t="shared" si="1"/>
        <v>878634.25</v>
      </c>
      <c r="J88" s="464">
        <v>878634.25</v>
      </c>
      <c r="K88" s="289">
        <f t="shared" si="13"/>
        <v>0</v>
      </c>
      <c r="L88" s="462">
        <v>0</v>
      </c>
      <c r="M88" s="462">
        <f t="shared" si="10"/>
        <v>878634.25</v>
      </c>
      <c r="N88" s="229" t="s">
        <v>104</v>
      </c>
      <c r="O88" s="474">
        <f t="shared" si="11"/>
        <v>1</v>
      </c>
      <c r="P88" s="474">
        <f t="shared" si="12"/>
        <v>1</v>
      </c>
      <c r="Q88" s="231" t="s">
        <v>493</v>
      </c>
      <c r="R88" s="274">
        <v>1</v>
      </c>
      <c r="S88" s="233" t="s">
        <v>128</v>
      </c>
      <c r="T88" s="223" t="s">
        <v>690</v>
      </c>
      <c r="U88" s="223" t="s">
        <v>567</v>
      </c>
      <c r="V88" s="223" t="s">
        <v>1179</v>
      </c>
      <c r="W88" s="223" t="s">
        <v>1291</v>
      </c>
      <c r="X88" s="223" t="s">
        <v>1291</v>
      </c>
    </row>
    <row r="89" spans="1:24" s="189" customFormat="1" ht="54.75" customHeight="1">
      <c r="A89" s="221" t="s">
        <v>411</v>
      </c>
      <c r="B89" s="250">
        <v>43242</v>
      </c>
      <c r="C89" s="223" t="s">
        <v>455</v>
      </c>
      <c r="D89" s="224"/>
      <c r="E89" s="272" t="s">
        <v>456</v>
      </c>
      <c r="F89" s="273" t="s">
        <v>457</v>
      </c>
      <c r="G89" s="215">
        <f t="shared" si="0"/>
        <v>808350</v>
      </c>
      <c r="H89" s="467">
        <v>808350</v>
      </c>
      <c r="I89" s="215">
        <f t="shared" si="1"/>
        <v>808349.72</v>
      </c>
      <c r="J89" s="464">
        <f>98368+83752+14616+98368+98368+98368+119773.72+98368+98368</f>
        <v>808349.72</v>
      </c>
      <c r="K89" s="289">
        <f t="shared" si="13"/>
        <v>0.28000000002793968</v>
      </c>
      <c r="L89" s="462">
        <v>0</v>
      </c>
      <c r="M89" s="462">
        <f t="shared" si="10"/>
        <v>808349.72</v>
      </c>
      <c r="N89" s="229" t="s">
        <v>1290</v>
      </c>
      <c r="O89" s="474">
        <f t="shared" si="11"/>
        <v>0.99999965361538934</v>
      </c>
      <c r="P89" s="474">
        <f t="shared" si="12"/>
        <v>0.99999965361538934</v>
      </c>
      <c r="Q89" s="231" t="s">
        <v>458</v>
      </c>
      <c r="R89" s="274">
        <v>1</v>
      </c>
      <c r="S89" s="233" t="s">
        <v>459</v>
      </c>
      <c r="T89" s="223" t="s">
        <v>1290</v>
      </c>
      <c r="U89" s="223" t="s">
        <v>39</v>
      </c>
      <c r="V89" s="223" t="s">
        <v>38</v>
      </c>
      <c r="W89" s="223" t="s">
        <v>1292</v>
      </c>
      <c r="X89" s="223" t="s">
        <v>1291</v>
      </c>
    </row>
    <row r="90" spans="1:24" s="189" customFormat="1" ht="54.75" customHeight="1">
      <c r="A90" s="221" t="s">
        <v>460</v>
      </c>
      <c r="B90" s="250">
        <v>43244</v>
      </c>
      <c r="C90" s="223" t="s">
        <v>1180</v>
      </c>
      <c r="D90" s="224" t="s">
        <v>417</v>
      </c>
      <c r="E90" s="272" t="s">
        <v>461</v>
      </c>
      <c r="F90" s="273" t="s">
        <v>1181</v>
      </c>
      <c r="G90" s="215">
        <f t="shared" si="0"/>
        <v>1321345.1299999999</v>
      </c>
      <c r="H90" s="467">
        <v>1321345.1299999999</v>
      </c>
      <c r="I90" s="215">
        <f t="shared" si="1"/>
        <v>1321345.1399999999</v>
      </c>
      <c r="J90" s="464">
        <f>60822.28+60822.28+84100+8120+161742.28+8004+309564.56+139702.28+480347.46+8120</f>
        <v>1321345.1399999999</v>
      </c>
      <c r="K90" s="289">
        <f t="shared" si="13"/>
        <v>-1.0000000009313226E-2</v>
      </c>
      <c r="L90" s="462">
        <v>0</v>
      </c>
      <c r="M90" s="462">
        <f t="shared" si="10"/>
        <v>1321345.1399999999</v>
      </c>
      <c r="N90" s="229" t="s">
        <v>1290</v>
      </c>
      <c r="O90" s="474">
        <f t="shared" si="11"/>
        <v>1.0000000075680455</v>
      </c>
      <c r="P90" s="474">
        <f t="shared" si="12"/>
        <v>1.0000000075680455</v>
      </c>
      <c r="Q90" s="231" t="s">
        <v>462</v>
      </c>
      <c r="R90" s="274">
        <v>1</v>
      </c>
      <c r="S90" s="233" t="s">
        <v>463</v>
      </c>
      <c r="T90" s="223" t="s">
        <v>1290</v>
      </c>
      <c r="U90" s="223" t="s">
        <v>39</v>
      </c>
      <c r="V90" s="223" t="s">
        <v>1292</v>
      </c>
      <c r="W90" s="223" t="s">
        <v>1185</v>
      </c>
      <c r="X90" s="223" t="s">
        <v>1186</v>
      </c>
    </row>
    <row r="91" spans="1:24" s="189" customFormat="1" ht="54.75" customHeight="1">
      <c r="A91" s="221" t="s">
        <v>460</v>
      </c>
      <c r="B91" s="250">
        <v>43258</v>
      </c>
      <c r="C91" s="223" t="s">
        <v>1182</v>
      </c>
      <c r="D91" s="224" t="s">
        <v>417</v>
      </c>
      <c r="E91" s="272" t="s">
        <v>509</v>
      </c>
      <c r="F91" s="273" t="s">
        <v>1183</v>
      </c>
      <c r="G91" s="215">
        <f t="shared" si="0"/>
        <v>17570984</v>
      </c>
      <c r="H91" s="467">
        <v>17570984</v>
      </c>
      <c r="I91" s="215">
        <f t="shared" si="1"/>
        <v>17570984</v>
      </c>
      <c r="J91" s="464">
        <f>2196373+2196373+2196373+2196373+2196373+2196373+4392746</f>
        <v>17570984</v>
      </c>
      <c r="K91" s="289">
        <f t="shared" si="13"/>
        <v>0</v>
      </c>
      <c r="L91" s="462">
        <v>0</v>
      </c>
      <c r="M91" s="462">
        <f t="shared" si="10"/>
        <v>17570984</v>
      </c>
      <c r="N91" s="229" t="s">
        <v>39</v>
      </c>
      <c r="O91" s="474">
        <f t="shared" si="11"/>
        <v>1</v>
      </c>
      <c r="P91" s="474">
        <f t="shared" si="12"/>
        <v>1</v>
      </c>
      <c r="Q91" s="231" t="s">
        <v>510</v>
      </c>
      <c r="R91" s="274">
        <v>2000</v>
      </c>
      <c r="S91" s="233" t="s">
        <v>122</v>
      </c>
      <c r="T91" s="223" t="s">
        <v>1184</v>
      </c>
      <c r="U91" s="223" t="s">
        <v>1185</v>
      </c>
      <c r="V91" s="223" t="s">
        <v>1186</v>
      </c>
      <c r="W91" s="223" t="s">
        <v>1293</v>
      </c>
      <c r="X91" s="223" t="s">
        <v>1293</v>
      </c>
    </row>
    <row r="92" spans="1:24" s="189" customFormat="1" ht="54.75" customHeight="1">
      <c r="A92" s="221" t="s">
        <v>100</v>
      </c>
      <c r="B92" s="250">
        <v>43307</v>
      </c>
      <c r="C92" s="223" t="s">
        <v>624</v>
      </c>
      <c r="D92" s="224" t="s">
        <v>436</v>
      </c>
      <c r="E92" s="272" t="s">
        <v>625</v>
      </c>
      <c r="F92" s="273" t="s">
        <v>769</v>
      </c>
      <c r="G92" s="215">
        <f t="shared" si="0"/>
        <v>1193265</v>
      </c>
      <c r="H92" s="467">
        <v>1193265</v>
      </c>
      <c r="I92" s="215">
        <f t="shared" si="1"/>
        <v>1193264.57</v>
      </c>
      <c r="J92" s="464">
        <v>1193264.57</v>
      </c>
      <c r="K92" s="289">
        <f t="shared" si="13"/>
        <v>0.42999999993480742</v>
      </c>
      <c r="L92" s="462">
        <v>0</v>
      </c>
      <c r="M92" s="462">
        <f t="shared" si="10"/>
        <v>1193264.57</v>
      </c>
      <c r="N92" s="229" t="s">
        <v>39</v>
      </c>
      <c r="O92" s="474">
        <f t="shared" si="11"/>
        <v>0.9999996396441696</v>
      </c>
      <c r="P92" s="474">
        <f t="shared" si="12"/>
        <v>0.9999996396441696</v>
      </c>
      <c r="Q92" s="231" t="s">
        <v>37</v>
      </c>
      <c r="R92" s="274">
        <v>1</v>
      </c>
      <c r="S92" s="233" t="s">
        <v>626</v>
      </c>
      <c r="T92" s="223" t="s">
        <v>38</v>
      </c>
      <c r="U92" s="223" t="s">
        <v>1292</v>
      </c>
      <c r="V92" s="223" t="s">
        <v>38</v>
      </c>
      <c r="W92" s="223" t="s">
        <v>1293</v>
      </c>
      <c r="X92" s="223" t="s">
        <v>1291</v>
      </c>
    </row>
    <row r="93" spans="1:24" s="189" customFormat="1" ht="54.75" customHeight="1">
      <c r="A93" s="221" t="s">
        <v>460</v>
      </c>
      <c r="B93" s="250">
        <v>43361</v>
      </c>
      <c r="C93" s="223" t="s">
        <v>1187</v>
      </c>
      <c r="D93" s="224"/>
      <c r="E93" s="272" t="s">
        <v>836</v>
      </c>
      <c r="F93" s="273" t="s">
        <v>1188</v>
      </c>
      <c r="G93" s="215">
        <f t="shared" si="0"/>
        <v>1978799.92</v>
      </c>
      <c r="H93" s="467">
        <v>1978799.92</v>
      </c>
      <c r="I93" s="215">
        <f t="shared" si="1"/>
        <v>1978799.92</v>
      </c>
      <c r="J93" s="464">
        <v>1978799.92</v>
      </c>
      <c r="K93" s="289">
        <f t="shared" si="13"/>
        <v>0</v>
      </c>
      <c r="L93" s="462">
        <v>0</v>
      </c>
      <c r="M93" s="462">
        <f t="shared" si="10"/>
        <v>1978799.92</v>
      </c>
      <c r="N93" s="229" t="s">
        <v>39</v>
      </c>
      <c r="O93" s="474">
        <f t="shared" si="11"/>
        <v>1</v>
      </c>
      <c r="P93" s="474">
        <f t="shared" si="12"/>
        <v>1</v>
      </c>
      <c r="Q93" s="231" t="s">
        <v>462</v>
      </c>
      <c r="R93" s="274">
        <v>1</v>
      </c>
      <c r="S93" s="233" t="s">
        <v>837</v>
      </c>
      <c r="T93" s="223" t="s">
        <v>39</v>
      </c>
      <c r="U93" s="223" t="s">
        <v>39</v>
      </c>
      <c r="V93" s="223" t="s">
        <v>39</v>
      </c>
      <c r="W93" s="223" t="s">
        <v>1291</v>
      </c>
      <c r="X93" s="223" t="s">
        <v>1291</v>
      </c>
    </row>
    <row r="94" spans="1:24" s="189" customFormat="1" ht="54.75" customHeight="1">
      <c r="A94" s="221" t="s">
        <v>916</v>
      </c>
      <c r="B94" s="250">
        <v>43375</v>
      </c>
      <c r="C94" s="223" t="s">
        <v>917</v>
      </c>
      <c r="D94" s="224"/>
      <c r="E94" s="272" t="s">
        <v>918</v>
      </c>
      <c r="F94" s="273" t="s">
        <v>919</v>
      </c>
      <c r="G94" s="215">
        <f t="shared" si="0"/>
        <v>108866</v>
      </c>
      <c r="H94" s="467">
        <v>108866</v>
      </c>
      <c r="I94" s="215">
        <f t="shared" si="1"/>
        <v>108865.60000000001</v>
      </c>
      <c r="J94" s="464">
        <f>32537.6+76328</f>
        <v>108865.60000000001</v>
      </c>
      <c r="K94" s="289">
        <f t="shared" si="13"/>
        <v>0.39999999999417923</v>
      </c>
      <c r="L94" s="462">
        <v>0</v>
      </c>
      <c r="M94" s="462">
        <f t="shared" si="10"/>
        <v>108865.60000000001</v>
      </c>
      <c r="N94" s="229" t="s">
        <v>39</v>
      </c>
      <c r="O94" s="474">
        <f t="shared" si="11"/>
        <v>0.99999632575827169</v>
      </c>
      <c r="P94" s="474">
        <f t="shared" si="12"/>
        <v>0.99999632575827169</v>
      </c>
      <c r="Q94" s="231" t="s">
        <v>920</v>
      </c>
      <c r="R94" s="274">
        <v>1</v>
      </c>
      <c r="S94" s="233" t="s">
        <v>921</v>
      </c>
      <c r="T94" s="223" t="s">
        <v>39</v>
      </c>
      <c r="U94" s="223" t="s">
        <v>38</v>
      </c>
      <c r="V94" s="223" t="s">
        <v>39</v>
      </c>
      <c r="W94" s="223" t="s">
        <v>1293</v>
      </c>
      <c r="X94" s="223" t="s">
        <v>1291</v>
      </c>
    </row>
    <row r="95" spans="1:24" s="189" customFormat="1" ht="54.75" customHeight="1">
      <c r="A95" s="221" t="s">
        <v>999</v>
      </c>
      <c r="B95" s="250">
        <v>43425</v>
      </c>
      <c r="C95" s="223" t="s">
        <v>1000</v>
      </c>
      <c r="D95" s="224"/>
      <c r="E95" s="272" t="s">
        <v>1001</v>
      </c>
      <c r="F95" s="273" t="s">
        <v>1002</v>
      </c>
      <c r="G95" s="215">
        <f t="shared" si="0"/>
        <v>332721.49</v>
      </c>
      <c r="H95" s="467">
        <v>332721.49</v>
      </c>
      <c r="I95" s="215">
        <f t="shared" si="1"/>
        <v>332721.49</v>
      </c>
      <c r="J95" s="464">
        <v>332721.49</v>
      </c>
      <c r="K95" s="289">
        <f t="shared" si="13"/>
        <v>0</v>
      </c>
      <c r="L95" s="462">
        <v>0</v>
      </c>
      <c r="M95" s="462">
        <f t="shared" si="10"/>
        <v>332721.49</v>
      </c>
      <c r="N95" s="229" t="s">
        <v>1290</v>
      </c>
      <c r="O95" s="474">
        <f t="shared" si="11"/>
        <v>1</v>
      </c>
      <c r="P95" s="474">
        <f t="shared" si="12"/>
        <v>1</v>
      </c>
      <c r="Q95" s="231" t="s">
        <v>462</v>
      </c>
      <c r="R95" s="274">
        <v>1</v>
      </c>
      <c r="S95" s="233" t="s">
        <v>1003</v>
      </c>
      <c r="T95" s="223" t="s">
        <v>1290</v>
      </c>
      <c r="U95" s="223" t="s">
        <v>39</v>
      </c>
      <c r="V95" s="223" t="s">
        <v>39</v>
      </c>
      <c r="W95" s="223" t="s">
        <v>1292</v>
      </c>
      <c r="X95" s="223" t="s">
        <v>1291</v>
      </c>
    </row>
    <row r="96" spans="1:24" s="267" customFormat="1" ht="12.75" customHeight="1">
      <c r="A96" s="221" t="s">
        <v>460</v>
      </c>
      <c r="B96" s="250">
        <v>43433</v>
      </c>
      <c r="C96" s="223" t="s">
        <v>1189</v>
      </c>
      <c r="D96" s="224"/>
      <c r="E96" s="272" t="s">
        <v>1004</v>
      </c>
      <c r="F96" s="273" t="s">
        <v>1190</v>
      </c>
      <c r="G96" s="215">
        <f t="shared" si="0"/>
        <v>121507</v>
      </c>
      <c r="H96" s="467">
        <v>121507</v>
      </c>
      <c r="I96" s="215">
        <f t="shared" si="1"/>
        <v>121507.34</v>
      </c>
      <c r="J96" s="464">
        <v>121507.34</v>
      </c>
      <c r="K96" s="289">
        <f t="shared" si="13"/>
        <v>-0.33999999999650754</v>
      </c>
      <c r="L96" s="462">
        <v>0</v>
      </c>
      <c r="M96" s="462">
        <f t="shared" si="10"/>
        <v>121507.34</v>
      </c>
      <c r="N96" s="229" t="s">
        <v>1290</v>
      </c>
      <c r="O96" s="474">
        <f t="shared" si="11"/>
        <v>1.0000027981926967</v>
      </c>
      <c r="P96" s="474">
        <f t="shared" si="12"/>
        <v>1.0000027981926967</v>
      </c>
      <c r="Q96" s="231" t="s">
        <v>462</v>
      </c>
      <c r="R96" s="274">
        <v>1</v>
      </c>
      <c r="S96" s="233" t="s">
        <v>649</v>
      </c>
      <c r="T96" s="223" t="s">
        <v>1290</v>
      </c>
      <c r="U96" s="223" t="s">
        <v>38</v>
      </c>
      <c r="V96" s="223" t="s">
        <v>39</v>
      </c>
      <c r="W96" s="301"/>
      <c r="X96" s="301"/>
    </row>
    <row r="97" spans="1:24" s="267" customFormat="1" ht="48" customHeight="1" thickBot="1">
      <c r="A97" s="728"/>
      <c r="B97" s="728"/>
      <c r="C97" s="728"/>
      <c r="D97" s="728"/>
      <c r="E97" s="728"/>
      <c r="F97" s="728"/>
      <c r="G97" s="79"/>
      <c r="H97" s="323"/>
      <c r="I97" s="83"/>
      <c r="J97" s="105"/>
      <c r="K97" s="81"/>
      <c r="L97" s="81"/>
      <c r="M97" s="299"/>
      <c r="N97" s="300"/>
      <c r="O97" s="107"/>
      <c r="P97" s="107"/>
      <c r="Q97" s="88"/>
      <c r="R97" s="89"/>
      <c r="S97" s="99"/>
      <c r="T97" s="301"/>
      <c r="U97" s="301"/>
      <c r="V97" s="301"/>
      <c r="W97" s="301"/>
      <c r="X97" s="301"/>
    </row>
    <row r="98" spans="1:24" s="267" customFormat="1" ht="18.75" customHeight="1" thickTop="1" thickBot="1">
      <c r="A98" s="302"/>
      <c r="B98" s="303"/>
      <c r="C98" s="301"/>
      <c r="D98" s="304"/>
      <c r="E98" s="304"/>
      <c r="F98" s="47" t="s">
        <v>89</v>
      </c>
      <c r="G98" s="95">
        <f>SUM(G17:G97)</f>
        <v>121966440.71999998</v>
      </c>
      <c r="H98" s="96">
        <f>SUM(H17:H96)</f>
        <v>121966440.71999998</v>
      </c>
      <c r="I98" s="96">
        <f>SUM(I17:I97)</f>
        <v>121966439.47999997</v>
      </c>
      <c r="J98" s="96">
        <f>SUM(J17:J97)</f>
        <v>121966439.47999997</v>
      </c>
      <c r="K98" s="96">
        <f>SUM(K17:K96)</f>
        <v>1.240000000121654</v>
      </c>
      <c r="L98" s="96">
        <f>SUM(L17:L96)</f>
        <v>0</v>
      </c>
      <c r="M98" s="96">
        <f>SUM(M17:M96)</f>
        <v>121966439.47999997</v>
      </c>
      <c r="N98" s="87"/>
      <c r="O98" s="107"/>
      <c r="P98" s="561"/>
      <c r="Q98" s="98"/>
      <c r="R98" s="89"/>
      <c r="S98" s="99"/>
      <c r="T98" s="301"/>
      <c r="U98" s="301"/>
      <c r="V98" s="301"/>
    </row>
    <row r="99" spans="1:24" ht="15.75" thickTop="1">
      <c r="A99" s="56" t="s">
        <v>91</v>
      </c>
      <c r="B99" s="267"/>
      <c r="C99" s="267"/>
      <c r="D99" s="267"/>
      <c r="E99" s="267"/>
      <c r="F99" s="267"/>
      <c r="G99" s="267"/>
      <c r="H99" s="267"/>
      <c r="I99" s="324"/>
      <c r="J99" s="105"/>
      <c r="K99" s="267"/>
      <c r="L99" s="267"/>
      <c r="M99" s="267"/>
      <c r="N99" s="267"/>
      <c r="O99" s="560"/>
      <c r="P99" s="560"/>
      <c r="Q99" s="325"/>
      <c r="R99" s="326"/>
      <c r="S99" s="267"/>
      <c r="T99" s="267"/>
      <c r="U99" s="267"/>
      <c r="V99" s="267"/>
    </row>
    <row r="101" spans="1:24">
      <c r="G101" s="492"/>
      <c r="H101" s="493"/>
      <c r="I101" s="493"/>
      <c r="J101" s="493"/>
      <c r="K101" s="493"/>
      <c r="L101" s="493"/>
      <c r="M101" s="493"/>
    </row>
    <row r="102" spans="1:24">
      <c r="I102" s="173"/>
    </row>
    <row r="103" spans="1:24">
      <c r="I103" s="59"/>
    </row>
    <row r="104" spans="1:24">
      <c r="I104" s="59"/>
    </row>
    <row r="106" spans="1:24">
      <c r="I106" s="60"/>
    </row>
    <row r="108" spans="1:24">
      <c r="I108" s="59"/>
    </row>
    <row r="111" spans="1:24">
      <c r="I111" s="3"/>
    </row>
  </sheetData>
  <mergeCells count="15">
    <mergeCell ref="C6:X6"/>
    <mergeCell ref="K7:Q7"/>
    <mergeCell ref="A97:F97"/>
    <mergeCell ref="A12:B12"/>
    <mergeCell ref="C5:X5"/>
    <mergeCell ref="C4:X4"/>
    <mergeCell ref="A8:B8"/>
    <mergeCell ref="A10:B10"/>
    <mergeCell ref="A11:B11"/>
    <mergeCell ref="A9:B9"/>
    <mergeCell ref="G15:H15"/>
    <mergeCell ref="K15:L15"/>
    <mergeCell ref="Q16:R16"/>
    <mergeCell ref="C2:X2"/>
    <mergeCell ref="C3:X3"/>
  </mergeCells>
  <pageMargins left="0.31496062992125984" right="0.31496062992125984" top="0.74803149606299213" bottom="0.74803149606299213" header="0.31496062992125984" footer="0.31496062992125984"/>
  <pageSetup scale="5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workbookViewId="0">
      <selection activeCell="C2" sqref="C2:X5"/>
    </sheetView>
  </sheetViews>
  <sheetFormatPr baseColWidth="10" defaultRowHeight="15"/>
  <cols>
    <col min="2" max="2" width="12.28515625" customWidth="1"/>
    <col min="3" max="5" width="14" customWidth="1"/>
    <col min="6" max="6" width="34.7109375" customWidth="1"/>
    <col min="7" max="7" width="13.7109375" bestFit="1" customWidth="1"/>
    <col min="8" max="8" width="15" hidden="1" customWidth="1"/>
    <col min="9" max="9" width="17.42578125" hidden="1" customWidth="1"/>
    <col min="10" max="10" width="13.28515625" customWidth="1"/>
    <col min="11" max="11" width="12.5703125" hidden="1" customWidth="1"/>
    <col min="12" max="12" width="16" hidden="1" customWidth="1"/>
    <col min="13" max="13" width="14.42578125" customWidth="1"/>
    <col min="14" max="14" width="14.42578125" hidden="1" customWidth="1"/>
    <col min="15" max="15" width="12.28515625" hidden="1" customWidth="1"/>
    <col min="16" max="16" width="11.42578125" customWidth="1"/>
    <col min="17" max="17" width="11" customWidth="1"/>
    <col min="18" max="18" width="8.28515625" customWidth="1"/>
    <col min="19" max="19" width="11.7109375" customWidth="1"/>
    <col min="20" max="20" width="10.85546875" customWidth="1"/>
    <col min="21" max="21" width="13" customWidth="1"/>
    <col min="22" max="22" width="13.140625" customWidth="1"/>
    <col min="23" max="25" width="11.42578125" customWidth="1"/>
    <col min="258" max="258" width="11.5703125" customWidth="1"/>
    <col min="260" max="260" width="12.42578125" customWidth="1"/>
    <col min="261" max="261" width="12" customWidth="1"/>
    <col min="262" max="262" width="28.85546875" customWidth="1"/>
    <col min="264" max="265" width="0" hidden="1" customWidth="1"/>
    <col min="266" max="266" width="14.5703125" customWidth="1"/>
    <col min="267" max="268" width="0" hidden="1" customWidth="1"/>
    <col min="270" max="271" width="0" hidden="1" customWidth="1"/>
    <col min="281" max="281" width="0" hidden="1" customWidth="1"/>
    <col min="514" max="514" width="11.5703125" customWidth="1"/>
    <col min="516" max="516" width="12.42578125" customWidth="1"/>
    <col min="517" max="517" width="12" customWidth="1"/>
    <col min="518" max="518" width="28.85546875" customWidth="1"/>
    <col min="520" max="521" width="0" hidden="1" customWidth="1"/>
    <col min="522" max="522" width="14.5703125" customWidth="1"/>
    <col min="523" max="524" width="0" hidden="1" customWidth="1"/>
    <col min="526" max="527" width="0" hidden="1" customWidth="1"/>
    <col min="537" max="537" width="0" hidden="1" customWidth="1"/>
    <col min="770" max="770" width="11.5703125" customWidth="1"/>
    <col min="772" max="772" width="12.42578125" customWidth="1"/>
    <col min="773" max="773" width="12" customWidth="1"/>
    <col min="774" max="774" width="28.85546875" customWidth="1"/>
    <col min="776" max="777" width="0" hidden="1" customWidth="1"/>
    <col min="778" max="778" width="14.5703125" customWidth="1"/>
    <col min="779" max="780" width="0" hidden="1" customWidth="1"/>
    <col min="782" max="783" width="0" hidden="1" customWidth="1"/>
    <col min="793" max="793" width="0" hidden="1" customWidth="1"/>
    <col min="1026" max="1026" width="11.5703125" customWidth="1"/>
    <col min="1028" max="1028" width="12.42578125" customWidth="1"/>
    <col min="1029" max="1029" width="12" customWidth="1"/>
    <col min="1030" max="1030" width="28.85546875" customWidth="1"/>
    <col min="1032" max="1033" width="0" hidden="1" customWidth="1"/>
    <col min="1034" max="1034" width="14.5703125" customWidth="1"/>
    <col min="1035" max="1036" width="0" hidden="1" customWidth="1"/>
    <col min="1038" max="1039" width="0" hidden="1" customWidth="1"/>
    <col min="1049" max="1049" width="0" hidden="1" customWidth="1"/>
    <col min="1282" max="1282" width="11.5703125" customWidth="1"/>
    <col min="1284" max="1284" width="12.42578125" customWidth="1"/>
    <col min="1285" max="1285" width="12" customWidth="1"/>
    <col min="1286" max="1286" width="28.85546875" customWidth="1"/>
    <col min="1288" max="1289" width="0" hidden="1" customWidth="1"/>
    <col min="1290" max="1290" width="14.5703125" customWidth="1"/>
    <col min="1291" max="1292" width="0" hidden="1" customWidth="1"/>
    <col min="1294" max="1295" width="0" hidden="1" customWidth="1"/>
    <col min="1305" max="1305" width="0" hidden="1" customWidth="1"/>
    <col min="1538" max="1538" width="11.5703125" customWidth="1"/>
    <col min="1540" max="1540" width="12.42578125" customWidth="1"/>
    <col min="1541" max="1541" width="12" customWidth="1"/>
    <col min="1542" max="1542" width="28.85546875" customWidth="1"/>
    <col min="1544" max="1545" width="0" hidden="1" customWidth="1"/>
    <col min="1546" max="1546" width="14.5703125" customWidth="1"/>
    <col min="1547" max="1548" width="0" hidden="1" customWidth="1"/>
    <col min="1550" max="1551" width="0" hidden="1" customWidth="1"/>
    <col min="1561" max="1561" width="0" hidden="1" customWidth="1"/>
    <col min="1794" max="1794" width="11.5703125" customWidth="1"/>
    <col min="1796" max="1796" width="12.42578125" customWidth="1"/>
    <col min="1797" max="1797" width="12" customWidth="1"/>
    <col min="1798" max="1798" width="28.85546875" customWidth="1"/>
    <col min="1800" max="1801" width="0" hidden="1" customWidth="1"/>
    <col min="1802" max="1802" width="14.5703125" customWidth="1"/>
    <col min="1803" max="1804" width="0" hidden="1" customWidth="1"/>
    <col min="1806" max="1807" width="0" hidden="1" customWidth="1"/>
    <col min="1817" max="1817" width="0" hidden="1" customWidth="1"/>
    <col min="2050" max="2050" width="11.5703125" customWidth="1"/>
    <col min="2052" max="2052" width="12.42578125" customWidth="1"/>
    <col min="2053" max="2053" width="12" customWidth="1"/>
    <col min="2054" max="2054" width="28.85546875" customWidth="1"/>
    <col min="2056" max="2057" width="0" hidden="1" customWidth="1"/>
    <col min="2058" max="2058" width="14.5703125" customWidth="1"/>
    <col min="2059" max="2060" width="0" hidden="1" customWidth="1"/>
    <col min="2062" max="2063" width="0" hidden="1" customWidth="1"/>
    <col min="2073" max="2073" width="0" hidden="1" customWidth="1"/>
    <col min="2306" max="2306" width="11.5703125" customWidth="1"/>
    <col min="2308" max="2308" width="12.42578125" customWidth="1"/>
    <col min="2309" max="2309" width="12" customWidth="1"/>
    <col min="2310" max="2310" width="28.85546875" customWidth="1"/>
    <col min="2312" max="2313" width="0" hidden="1" customWidth="1"/>
    <col min="2314" max="2314" width="14.5703125" customWidth="1"/>
    <col min="2315" max="2316" width="0" hidden="1" customWidth="1"/>
    <col min="2318" max="2319" width="0" hidden="1" customWidth="1"/>
    <col min="2329" max="2329" width="0" hidden="1" customWidth="1"/>
    <col min="2562" max="2562" width="11.5703125" customWidth="1"/>
    <col min="2564" max="2564" width="12.42578125" customWidth="1"/>
    <col min="2565" max="2565" width="12" customWidth="1"/>
    <col min="2566" max="2566" width="28.85546875" customWidth="1"/>
    <col min="2568" max="2569" width="0" hidden="1" customWidth="1"/>
    <col min="2570" max="2570" width="14.5703125" customWidth="1"/>
    <col min="2571" max="2572" width="0" hidden="1" customWidth="1"/>
    <col min="2574" max="2575" width="0" hidden="1" customWidth="1"/>
    <col min="2585" max="2585" width="0" hidden="1" customWidth="1"/>
    <col min="2818" max="2818" width="11.5703125" customWidth="1"/>
    <col min="2820" max="2820" width="12.42578125" customWidth="1"/>
    <col min="2821" max="2821" width="12" customWidth="1"/>
    <col min="2822" max="2822" width="28.85546875" customWidth="1"/>
    <col min="2824" max="2825" width="0" hidden="1" customWidth="1"/>
    <col min="2826" max="2826" width="14.5703125" customWidth="1"/>
    <col min="2827" max="2828" width="0" hidden="1" customWidth="1"/>
    <col min="2830" max="2831" width="0" hidden="1" customWidth="1"/>
    <col min="2841" max="2841" width="0" hidden="1" customWidth="1"/>
    <col min="3074" max="3074" width="11.5703125" customWidth="1"/>
    <col min="3076" max="3076" width="12.42578125" customWidth="1"/>
    <col min="3077" max="3077" width="12" customWidth="1"/>
    <col min="3078" max="3078" width="28.85546875" customWidth="1"/>
    <col min="3080" max="3081" width="0" hidden="1" customWidth="1"/>
    <col min="3082" max="3082" width="14.5703125" customWidth="1"/>
    <col min="3083" max="3084" width="0" hidden="1" customWidth="1"/>
    <col min="3086" max="3087" width="0" hidden="1" customWidth="1"/>
    <col min="3097" max="3097" width="0" hidden="1" customWidth="1"/>
    <col min="3330" max="3330" width="11.5703125" customWidth="1"/>
    <col min="3332" max="3332" width="12.42578125" customWidth="1"/>
    <col min="3333" max="3333" width="12" customWidth="1"/>
    <col min="3334" max="3334" width="28.85546875" customWidth="1"/>
    <col min="3336" max="3337" width="0" hidden="1" customWidth="1"/>
    <col min="3338" max="3338" width="14.5703125" customWidth="1"/>
    <col min="3339" max="3340" width="0" hidden="1" customWidth="1"/>
    <col min="3342" max="3343" width="0" hidden="1" customWidth="1"/>
    <col min="3353" max="3353" width="0" hidden="1" customWidth="1"/>
    <col min="3586" max="3586" width="11.5703125" customWidth="1"/>
    <col min="3588" max="3588" width="12.42578125" customWidth="1"/>
    <col min="3589" max="3589" width="12" customWidth="1"/>
    <col min="3590" max="3590" width="28.85546875" customWidth="1"/>
    <col min="3592" max="3593" width="0" hidden="1" customWidth="1"/>
    <col min="3594" max="3594" width="14.5703125" customWidth="1"/>
    <col min="3595" max="3596" width="0" hidden="1" customWidth="1"/>
    <col min="3598" max="3599" width="0" hidden="1" customWidth="1"/>
    <col min="3609" max="3609" width="0" hidden="1" customWidth="1"/>
    <col min="3842" max="3842" width="11.5703125" customWidth="1"/>
    <col min="3844" max="3844" width="12.42578125" customWidth="1"/>
    <col min="3845" max="3845" width="12" customWidth="1"/>
    <col min="3846" max="3846" width="28.85546875" customWidth="1"/>
    <col min="3848" max="3849" width="0" hidden="1" customWidth="1"/>
    <col min="3850" max="3850" width="14.5703125" customWidth="1"/>
    <col min="3851" max="3852" width="0" hidden="1" customWidth="1"/>
    <col min="3854" max="3855" width="0" hidden="1" customWidth="1"/>
    <col min="3865" max="3865" width="0" hidden="1" customWidth="1"/>
    <col min="4098" max="4098" width="11.5703125" customWidth="1"/>
    <col min="4100" max="4100" width="12.42578125" customWidth="1"/>
    <col min="4101" max="4101" width="12" customWidth="1"/>
    <col min="4102" max="4102" width="28.85546875" customWidth="1"/>
    <col min="4104" max="4105" width="0" hidden="1" customWidth="1"/>
    <col min="4106" max="4106" width="14.5703125" customWidth="1"/>
    <col min="4107" max="4108" width="0" hidden="1" customWidth="1"/>
    <col min="4110" max="4111" width="0" hidden="1" customWidth="1"/>
    <col min="4121" max="4121" width="0" hidden="1" customWidth="1"/>
    <col min="4354" max="4354" width="11.5703125" customWidth="1"/>
    <col min="4356" max="4356" width="12.42578125" customWidth="1"/>
    <col min="4357" max="4357" width="12" customWidth="1"/>
    <col min="4358" max="4358" width="28.85546875" customWidth="1"/>
    <col min="4360" max="4361" width="0" hidden="1" customWidth="1"/>
    <col min="4362" max="4362" width="14.5703125" customWidth="1"/>
    <col min="4363" max="4364" width="0" hidden="1" customWidth="1"/>
    <col min="4366" max="4367" width="0" hidden="1" customWidth="1"/>
    <col min="4377" max="4377" width="0" hidden="1" customWidth="1"/>
    <col min="4610" max="4610" width="11.5703125" customWidth="1"/>
    <col min="4612" max="4612" width="12.42578125" customWidth="1"/>
    <col min="4613" max="4613" width="12" customWidth="1"/>
    <col min="4614" max="4614" width="28.85546875" customWidth="1"/>
    <col min="4616" max="4617" width="0" hidden="1" customWidth="1"/>
    <col min="4618" max="4618" width="14.5703125" customWidth="1"/>
    <col min="4619" max="4620" width="0" hidden="1" customWidth="1"/>
    <col min="4622" max="4623" width="0" hidden="1" customWidth="1"/>
    <col min="4633" max="4633" width="0" hidden="1" customWidth="1"/>
    <col min="4866" max="4866" width="11.5703125" customWidth="1"/>
    <col min="4868" max="4868" width="12.42578125" customWidth="1"/>
    <col min="4869" max="4869" width="12" customWidth="1"/>
    <col min="4870" max="4870" width="28.85546875" customWidth="1"/>
    <col min="4872" max="4873" width="0" hidden="1" customWidth="1"/>
    <col min="4874" max="4874" width="14.5703125" customWidth="1"/>
    <col min="4875" max="4876" width="0" hidden="1" customWidth="1"/>
    <col min="4878" max="4879" width="0" hidden="1" customWidth="1"/>
    <col min="4889" max="4889" width="0" hidden="1" customWidth="1"/>
    <col min="5122" max="5122" width="11.5703125" customWidth="1"/>
    <col min="5124" max="5124" width="12.42578125" customWidth="1"/>
    <col min="5125" max="5125" width="12" customWidth="1"/>
    <col min="5126" max="5126" width="28.85546875" customWidth="1"/>
    <col min="5128" max="5129" width="0" hidden="1" customWidth="1"/>
    <col min="5130" max="5130" width="14.5703125" customWidth="1"/>
    <col min="5131" max="5132" width="0" hidden="1" customWidth="1"/>
    <col min="5134" max="5135" width="0" hidden="1" customWidth="1"/>
    <col min="5145" max="5145" width="0" hidden="1" customWidth="1"/>
    <col min="5378" max="5378" width="11.5703125" customWidth="1"/>
    <col min="5380" max="5380" width="12.42578125" customWidth="1"/>
    <col min="5381" max="5381" width="12" customWidth="1"/>
    <col min="5382" max="5382" width="28.85546875" customWidth="1"/>
    <col min="5384" max="5385" width="0" hidden="1" customWidth="1"/>
    <col min="5386" max="5386" width="14.5703125" customWidth="1"/>
    <col min="5387" max="5388" width="0" hidden="1" customWidth="1"/>
    <col min="5390" max="5391" width="0" hidden="1" customWidth="1"/>
    <col min="5401" max="5401" width="0" hidden="1" customWidth="1"/>
    <col min="5634" max="5634" width="11.5703125" customWidth="1"/>
    <col min="5636" max="5636" width="12.42578125" customWidth="1"/>
    <col min="5637" max="5637" width="12" customWidth="1"/>
    <col min="5638" max="5638" width="28.85546875" customWidth="1"/>
    <col min="5640" max="5641" width="0" hidden="1" customWidth="1"/>
    <col min="5642" max="5642" width="14.5703125" customWidth="1"/>
    <col min="5643" max="5644" width="0" hidden="1" customWidth="1"/>
    <col min="5646" max="5647" width="0" hidden="1" customWidth="1"/>
    <col min="5657" max="5657" width="0" hidden="1" customWidth="1"/>
    <col min="5890" max="5890" width="11.5703125" customWidth="1"/>
    <col min="5892" max="5892" width="12.42578125" customWidth="1"/>
    <col min="5893" max="5893" width="12" customWidth="1"/>
    <col min="5894" max="5894" width="28.85546875" customWidth="1"/>
    <col min="5896" max="5897" width="0" hidden="1" customWidth="1"/>
    <col min="5898" max="5898" width="14.5703125" customWidth="1"/>
    <col min="5899" max="5900" width="0" hidden="1" customWidth="1"/>
    <col min="5902" max="5903" width="0" hidden="1" customWidth="1"/>
    <col min="5913" max="5913" width="0" hidden="1" customWidth="1"/>
    <col min="6146" max="6146" width="11.5703125" customWidth="1"/>
    <col min="6148" max="6148" width="12.42578125" customWidth="1"/>
    <col min="6149" max="6149" width="12" customWidth="1"/>
    <col min="6150" max="6150" width="28.85546875" customWidth="1"/>
    <col min="6152" max="6153" width="0" hidden="1" customWidth="1"/>
    <col min="6154" max="6154" width="14.5703125" customWidth="1"/>
    <col min="6155" max="6156" width="0" hidden="1" customWidth="1"/>
    <col min="6158" max="6159" width="0" hidden="1" customWidth="1"/>
    <col min="6169" max="6169" width="0" hidden="1" customWidth="1"/>
    <col min="6402" max="6402" width="11.5703125" customWidth="1"/>
    <col min="6404" max="6404" width="12.42578125" customWidth="1"/>
    <col min="6405" max="6405" width="12" customWidth="1"/>
    <col min="6406" max="6406" width="28.85546875" customWidth="1"/>
    <col min="6408" max="6409" width="0" hidden="1" customWidth="1"/>
    <col min="6410" max="6410" width="14.5703125" customWidth="1"/>
    <col min="6411" max="6412" width="0" hidden="1" customWidth="1"/>
    <col min="6414" max="6415" width="0" hidden="1" customWidth="1"/>
    <col min="6425" max="6425" width="0" hidden="1" customWidth="1"/>
    <col min="6658" max="6658" width="11.5703125" customWidth="1"/>
    <col min="6660" max="6660" width="12.42578125" customWidth="1"/>
    <col min="6661" max="6661" width="12" customWidth="1"/>
    <col min="6662" max="6662" width="28.85546875" customWidth="1"/>
    <col min="6664" max="6665" width="0" hidden="1" customWidth="1"/>
    <col min="6666" max="6666" width="14.5703125" customWidth="1"/>
    <col min="6667" max="6668" width="0" hidden="1" customWidth="1"/>
    <col min="6670" max="6671" width="0" hidden="1" customWidth="1"/>
    <col min="6681" max="6681" width="0" hidden="1" customWidth="1"/>
    <col min="6914" max="6914" width="11.5703125" customWidth="1"/>
    <col min="6916" max="6916" width="12.42578125" customWidth="1"/>
    <col min="6917" max="6917" width="12" customWidth="1"/>
    <col min="6918" max="6918" width="28.85546875" customWidth="1"/>
    <col min="6920" max="6921" width="0" hidden="1" customWidth="1"/>
    <col min="6922" max="6922" width="14.5703125" customWidth="1"/>
    <col min="6923" max="6924" width="0" hidden="1" customWidth="1"/>
    <col min="6926" max="6927" width="0" hidden="1" customWidth="1"/>
    <col min="6937" max="6937" width="0" hidden="1" customWidth="1"/>
    <col min="7170" max="7170" width="11.5703125" customWidth="1"/>
    <col min="7172" max="7172" width="12.42578125" customWidth="1"/>
    <col min="7173" max="7173" width="12" customWidth="1"/>
    <col min="7174" max="7174" width="28.85546875" customWidth="1"/>
    <col min="7176" max="7177" width="0" hidden="1" customWidth="1"/>
    <col min="7178" max="7178" width="14.5703125" customWidth="1"/>
    <col min="7179" max="7180" width="0" hidden="1" customWidth="1"/>
    <col min="7182" max="7183" width="0" hidden="1" customWidth="1"/>
    <col min="7193" max="7193" width="0" hidden="1" customWidth="1"/>
    <col min="7426" max="7426" width="11.5703125" customWidth="1"/>
    <col min="7428" max="7428" width="12.42578125" customWidth="1"/>
    <col min="7429" max="7429" width="12" customWidth="1"/>
    <col min="7430" max="7430" width="28.85546875" customWidth="1"/>
    <col min="7432" max="7433" width="0" hidden="1" customWidth="1"/>
    <col min="7434" max="7434" width="14.5703125" customWidth="1"/>
    <col min="7435" max="7436" width="0" hidden="1" customWidth="1"/>
    <col min="7438" max="7439" width="0" hidden="1" customWidth="1"/>
    <col min="7449" max="7449" width="0" hidden="1" customWidth="1"/>
    <col min="7682" max="7682" width="11.5703125" customWidth="1"/>
    <col min="7684" max="7684" width="12.42578125" customWidth="1"/>
    <col min="7685" max="7685" width="12" customWidth="1"/>
    <col min="7686" max="7686" width="28.85546875" customWidth="1"/>
    <col min="7688" max="7689" width="0" hidden="1" customWidth="1"/>
    <col min="7690" max="7690" width="14.5703125" customWidth="1"/>
    <col min="7691" max="7692" width="0" hidden="1" customWidth="1"/>
    <col min="7694" max="7695" width="0" hidden="1" customWidth="1"/>
    <col min="7705" max="7705" width="0" hidden="1" customWidth="1"/>
    <col min="7938" max="7938" width="11.5703125" customWidth="1"/>
    <col min="7940" max="7940" width="12.42578125" customWidth="1"/>
    <col min="7941" max="7941" width="12" customWidth="1"/>
    <col min="7942" max="7942" width="28.85546875" customWidth="1"/>
    <col min="7944" max="7945" width="0" hidden="1" customWidth="1"/>
    <col min="7946" max="7946" width="14.5703125" customWidth="1"/>
    <col min="7947" max="7948" width="0" hidden="1" customWidth="1"/>
    <col min="7950" max="7951" width="0" hidden="1" customWidth="1"/>
    <col min="7961" max="7961" width="0" hidden="1" customWidth="1"/>
    <col min="8194" max="8194" width="11.5703125" customWidth="1"/>
    <col min="8196" max="8196" width="12.42578125" customWidth="1"/>
    <col min="8197" max="8197" width="12" customWidth="1"/>
    <col min="8198" max="8198" width="28.85546875" customWidth="1"/>
    <col min="8200" max="8201" width="0" hidden="1" customWidth="1"/>
    <col min="8202" max="8202" width="14.5703125" customWidth="1"/>
    <col min="8203" max="8204" width="0" hidden="1" customWidth="1"/>
    <col min="8206" max="8207" width="0" hidden="1" customWidth="1"/>
    <col min="8217" max="8217" width="0" hidden="1" customWidth="1"/>
    <col min="8450" max="8450" width="11.5703125" customWidth="1"/>
    <col min="8452" max="8452" width="12.42578125" customWidth="1"/>
    <col min="8453" max="8453" width="12" customWidth="1"/>
    <col min="8454" max="8454" width="28.85546875" customWidth="1"/>
    <col min="8456" max="8457" width="0" hidden="1" customWidth="1"/>
    <col min="8458" max="8458" width="14.5703125" customWidth="1"/>
    <col min="8459" max="8460" width="0" hidden="1" customWidth="1"/>
    <col min="8462" max="8463" width="0" hidden="1" customWidth="1"/>
    <col min="8473" max="8473" width="0" hidden="1" customWidth="1"/>
    <col min="8706" max="8706" width="11.5703125" customWidth="1"/>
    <col min="8708" max="8708" width="12.42578125" customWidth="1"/>
    <col min="8709" max="8709" width="12" customWidth="1"/>
    <col min="8710" max="8710" width="28.85546875" customWidth="1"/>
    <col min="8712" max="8713" width="0" hidden="1" customWidth="1"/>
    <col min="8714" max="8714" width="14.5703125" customWidth="1"/>
    <col min="8715" max="8716" width="0" hidden="1" customWidth="1"/>
    <col min="8718" max="8719" width="0" hidden="1" customWidth="1"/>
    <col min="8729" max="8729" width="0" hidden="1" customWidth="1"/>
    <col min="8962" max="8962" width="11.5703125" customWidth="1"/>
    <col min="8964" max="8964" width="12.42578125" customWidth="1"/>
    <col min="8965" max="8965" width="12" customWidth="1"/>
    <col min="8966" max="8966" width="28.85546875" customWidth="1"/>
    <col min="8968" max="8969" width="0" hidden="1" customWidth="1"/>
    <col min="8970" max="8970" width="14.5703125" customWidth="1"/>
    <col min="8971" max="8972" width="0" hidden="1" customWidth="1"/>
    <col min="8974" max="8975" width="0" hidden="1" customWidth="1"/>
    <col min="8985" max="8985" width="0" hidden="1" customWidth="1"/>
    <col min="9218" max="9218" width="11.5703125" customWidth="1"/>
    <col min="9220" max="9220" width="12.42578125" customWidth="1"/>
    <col min="9221" max="9221" width="12" customWidth="1"/>
    <col min="9222" max="9222" width="28.85546875" customWidth="1"/>
    <col min="9224" max="9225" width="0" hidden="1" customWidth="1"/>
    <col min="9226" max="9226" width="14.5703125" customWidth="1"/>
    <col min="9227" max="9228" width="0" hidden="1" customWidth="1"/>
    <col min="9230" max="9231" width="0" hidden="1" customWidth="1"/>
    <col min="9241" max="9241" width="0" hidden="1" customWidth="1"/>
    <col min="9474" max="9474" width="11.5703125" customWidth="1"/>
    <col min="9476" max="9476" width="12.42578125" customWidth="1"/>
    <col min="9477" max="9477" width="12" customWidth="1"/>
    <col min="9478" max="9478" width="28.85546875" customWidth="1"/>
    <col min="9480" max="9481" width="0" hidden="1" customWidth="1"/>
    <col min="9482" max="9482" width="14.5703125" customWidth="1"/>
    <col min="9483" max="9484" width="0" hidden="1" customWidth="1"/>
    <col min="9486" max="9487" width="0" hidden="1" customWidth="1"/>
    <col min="9497" max="9497" width="0" hidden="1" customWidth="1"/>
    <col min="9730" max="9730" width="11.5703125" customWidth="1"/>
    <col min="9732" max="9732" width="12.42578125" customWidth="1"/>
    <col min="9733" max="9733" width="12" customWidth="1"/>
    <col min="9734" max="9734" width="28.85546875" customWidth="1"/>
    <col min="9736" max="9737" width="0" hidden="1" customWidth="1"/>
    <col min="9738" max="9738" width="14.5703125" customWidth="1"/>
    <col min="9739" max="9740" width="0" hidden="1" customWidth="1"/>
    <col min="9742" max="9743" width="0" hidden="1" customWidth="1"/>
    <col min="9753" max="9753" width="0" hidden="1" customWidth="1"/>
    <col min="9986" max="9986" width="11.5703125" customWidth="1"/>
    <col min="9988" max="9988" width="12.42578125" customWidth="1"/>
    <col min="9989" max="9989" width="12" customWidth="1"/>
    <col min="9990" max="9990" width="28.85546875" customWidth="1"/>
    <col min="9992" max="9993" width="0" hidden="1" customWidth="1"/>
    <col min="9994" max="9994" width="14.5703125" customWidth="1"/>
    <col min="9995" max="9996" width="0" hidden="1" customWidth="1"/>
    <col min="9998" max="9999" width="0" hidden="1" customWidth="1"/>
    <col min="10009" max="10009" width="0" hidden="1" customWidth="1"/>
    <col min="10242" max="10242" width="11.5703125" customWidth="1"/>
    <col min="10244" max="10244" width="12.42578125" customWidth="1"/>
    <col min="10245" max="10245" width="12" customWidth="1"/>
    <col min="10246" max="10246" width="28.85546875" customWidth="1"/>
    <col min="10248" max="10249" width="0" hidden="1" customWidth="1"/>
    <col min="10250" max="10250" width="14.5703125" customWidth="1"/>
    <col min="10251" max="10252" width="0" hidden="1" customWidth="1"/>
    <col min="10254" max="10255" width="0" hidden="1" customWidth="1"/>
    <col min="10265" max="10265" width="0" hidden="1" customWidth="1"/>
    <col min="10498" max="10498" width="11.5703125" customWidth="1"/>
    <col min="10500" max="10500" width="12.42578125" customWidth="1"/>
    <col min="10501" max="10501" width="12" customWidth="1"/>
    <col min="10502" max="10502" width="28.85546875" customWidth="1"/>
    <col min="10504" max="10505" width="0" hidden="1" customWidth="1"/>
    <col min="10506" max="10506" width="14.5703125" customWidth="1"/>
    <col min="10507" max="10508" width="0" hidden="1" customWidth="1"/>
    <col min="10510" max="10511" width="0" hidden="1" customWidth="1"/>
    <col min="10521" max="10521" width="0" hidden="1" customWidth="1"/>
    <col min="10754" max="10754" width="11.5703125" customWidth="1"/>
    <col min="10756" max="10756" width="12.42578125" customWidth="1"/>
    <col min="10757" max="10757" width="12" customWidth="1"/>
    <col min="10758" max="10758" width="28.85546875" customWidth="1"/>
    <col min="10760" max="10761" width="0" hidden="1" customWidth="1"/>
    <col min="10762" max="10762" width="14.5703125" customWidth="1"/>
    <col min="10763" max="10764" width="0" hidden="1" customWidth="1"/>
    <col min="10766" max="10767" width="0" hidden="1" customWidth="1"/>
    <col min="10777" max="10777" width="0" hidden="1" customWidth="1"/>
    <col min="11010" max="11010" width="11.5703125" customWidth="1"/>
    <col min="11012" max="11012" width="12.42578125" customWidth="1"/>
    <col min="11013" max="11013" width="12" customWidth="1"/>
    <col min="11014" max="11014" width="28.85546875" customWidth="1"/>
    <col min="11016" max="11017" width="0" hidden="1" customWidth="1"/>
    <col min="11018" max="11018" width="14.5703125" customWidth="1"/>
    <col min="11019" max="11020" width="0" hidden="1" customWidth="1"/>
    <col min="11022" max="11023" width="0" hidden="1" customWidth="1"/>
    <col min="11033" max="11033" width="0" hidden="1" customWidth="1"/>
    <col min="11266" max="11266" width="11.5703125" customWidth="1"/>
    <col min="11268" max="11268" width="12.42578125" customWidth="1"/>
    <col min="11269" max="11269" width="12" customWidth="1"/>
    <col min="11270" max="11270" width="28.85546875" customWidth="1"/>
    <col min="11272" max="11273" width="0" hidden="1" customWidth="1"/>
    <col min="11274" max="11274" width="14.5703125" customWidth="1"/>
    <col min="11275" max="11276" width="0" hidden="1" customWidth="1"/>
    <col min="11278" max="11279" width="0" hidden="1" customWidth="1"/>
    <col min="11289" max="11289" width="0" hidden="1" customWidth="1"/>
    <col min="11522" max="11522" width="11.5703125" customWidth="1"/>
    <col min="11524" max="11524" width="12.42578125" customWidth="1"/>
    <col min="11525" max="11525" width="12" customWidth="1"/>
    <col min="11526" max="11526" width="28.85546875" customWidth="1"/>
    <col min="11528" max="11529" width="0" hidden="1" customWidth="1"/>
    <col min="11530" max="11530" width="14.5703125" customWidth="1"/>
    <col min="11531" max="11532" width="0" hidden="1" customWidth="1"/>
    <col min="11534" max="11535" width="0" hidden="1" customWidth="1"/>
    <col min="11545" max="11545" width="0" hidden="1" customWidth="1"/>
    <col min="11778" max="11778" width="11.5703125" customWidth="1"/>
    <col min="11780" max="11780" width="12.42578125" customWidth="1"/>
    <col min="11781" max="11781" width="12" customWidth="1"/>
    <col min="11782" max="11782" width="28.85546875" customWidth="1"/>
    <col min="11784" max="11785" width="0" hidden="1" customWidth="1"/>
    <col min="11786" max="11786" width="14.5703125" customWidth="1"/>
    <col min="11787" max="11788" width="0" hidden="1" customWidth="1"/>
    <col min="11790" max="11791" width="0" hidden="1" customWidth="1"/>
    <col min="11801" max="11801" width="0" hidden="1" customWidth="1"/>
    <col min="12034" max="12034" width="11.5703125" customWidth="1"/>
    <col min="12036" max="12036" width="12.42578125" customWidth="1"/>
    <col min="12037" max="12037" width="12" customWidth="1"/>
    <col min="12038" max="12038" width="28.85546875" customWidth="1"/>
    <col min="12040" max="12041" width="0" hidden="1" customWidth="1"/>
    <col min="12042" max="12042" width="14.5703125" customWidth="1"/>
    <col min="12043" max="12044" width="0" hidden="1" customWidth="1"/>
    <col min="12046" max="12047" width="0" hidden="1" customWidth="1"/>
    <col min="12057" max="12057" width="0" hidden="1" customWidth="1"/>
    <col min="12290" max="12290" width="11.5703125" customWidth="1"/>
    <col min="12292" max="12292" width="12.42578125" customWidth="1"/>
    <col min="12293" max="12293" width="12" customWidth="1"/>
    <col min="12294" max="12294" width="28.85546875" customWidth="1"/>
    <col min="12296" max="12297" width="0" hidden="1" customWidth="1"/>
    <col min="12298" max="12298" width="14.5703125" customWidth="1"/>
    <col min="12299" max="12300" width="0" hidden="1" customWidth="1"/>
    <col min="12302" max="12303" width="0" hidden="1" customWidth="1"/>
    <col min="12313" max="12313" width="0" hidden="1" customWidth="1"/>
    <col min="12546" max="12546" width="11.5703125" customWidth="1"/>
    <col min="12548" max="12548" width="12.42578125" customWidth="1"/>
    <col min="12549" max="12549" width="12" customWidth="1"/>
    <col min="12550" max="12550" width="28.85546875" customWidth="1"/>
    <col min="12552" max="12553" width="0" hidden="1" customWidth="1"/>
    <col min="12554" max="12554" width="14.5703125" customWidth="1"/>
    <col min="12555" max="12556" width="0" hidden="1" customWidth="1"/>
    <col min="12558" max="12559" width="0" hidden="1" customWidth="1"/>
    <col min="12569" max="12569" width="0" hidden="1" customWidth="1"/>
    <col min="12802" max="12802" width="11.5703125" customWidth="1"/>
    <col min="12804" max="12804" width="12.42578125" customWidth="1"/>
    <col min="12805" max="12805" width="12" customWidth="1"/>
    <col min="12806" max="12806" width="28.85546875" customWidth="1"/>
    <col min="12808" max="12809" width="0" hidden="1" customWidth="1"/>
    <col min="12810" max="12810" width="14.5703125" customWidth="1"/>
    <col min="12811" max="12812" width="0" hidden="1" customWidth="1"/>
    <col min="12814" max="12815" width="0" hidden="1" customWidth="1"/>
    <col min="12825" max="12825" width="0" hidden="1" customWidth="1"/>
    <col min="13058" max="13058" width="11.5703125" customWidth="1"/>
    <col min="13060" max="13060" width="12.42578125" customWidth="1"/>
    <col min="13061" max="13061" width="12" customWidth="1"/>
    <col min="13062" max="13062" width="28.85546875" customWidth="1"/>
    <col min="13064" max="13065" width="0" hidden="1" customWidth="1"/>
    <col min="13066" max="13066" width="14.5703125" customWidth="1"/>
    <col min="13067" max="13068" width="0" hidden="1" customWidth="1"/>
    <col min="13070" max="13071" width="0" hidden="1" customWidth="1"/>
    <col min="13081" max="13081" width="0" hidden="1" customWidth="1"/>
    <col min="13314" max="13314" width="11.5703125" customWidth="1"/>
    <col min="13316" max="13316" width="12.42578125" customWidth="1"/>
    <col min="13317" max="13317" width="12" customWidth="1"/>
    <col min="13318" max="13318" width="28.85546875" customWidth="1"/>
    <col min="13320" max="13321" width="0" hidden="1" customWidth="1"/>
    <col min="13322" max="13322" width="14.5703125" customWidth="1"/>
    <col min="13323" max="13324" width="0" hidden="1" customWidth="1"/>
    <col min="13326" max="13327" width="0" hidden="1" customWidth="1"/>
    <col min="13337" max="13337" width="0" hidden="1" customWidth="1"/>
    <col min="13570" max="13570" width="11.5703125" customWidth="1"/>
    <col min="13572" max="13572" width="12.42578125" customWidth="1"/>
    <col min="13573" max="13573" width="12" customWidth="1"/>
    <col min="13574" max="13574" width="28.85546875" customWidth="1"/>
    <col min="13576" max="13577" width="0" hidden="1" customWidth="1"/>
    <col min="13578" max="13578" width="14.5703125" customWidth="1"/>
    <col min="13579" max="13580" width="0" hidden="1" customWidth="1"/>
    <col min="13582" max="13583" width="0" hidden="1" customWidth="1"/>
    <col min="13593" max="13593" width="0" hidden="1" customWidth="1"/>
    <col min="13826" max="13826" width="11.5703125" customWidth="1"/>
    <col min="13828" max="13828" width="12.42578125" customWidth="1"/>
    <col min="13829" max="13829" width="12" customWidth="1"/>
    <col min="13830" max="13830" width="28.85546875" customWidth="1"/>
    <col min="13832" max="13833" width="0" hidden="1" customWidth="1"/>
    <col min="13834" max="13834" width="14.5703125" customWidth="1"/>
    <col min="13835" max="13836" width="0" hidden="1" customWidth="1"/>
    <col min="13838" max="13839" width="0" hidden="1" customWidth="1"/>
    <col min="13849" max="13849" width="0" hidden="1" customWidth="1"/>
    <col min="14082" max="14082" width="11.5703125" customWidth="1"/>
    <col min="14084" max="14084" width="12.42578125" customWidth="1"/>
    <col min="14085" max="14085" width="12" customWidth="1"/>
    <col min="14086" max="14086" width="28.85546875" customWidth="1"/>
    <col min="14088" max="14089" width="0" hidden="1" customWidth="1"/>
    <col min="14090" max="14090" width="14.5703125" customWidth="1"/>
    <col min="14091" max="14092" width="0" hidden="1" customWidth="1"/>
    <col min="14094" max="14095" width="0" hidden="1" customWidth="1"/>
    <col min="14105" max="14105" width="0" hidden="1" customWidth="1"/>
    <col min="14338" max="14338" width="11.5703125" customWidth="1"/>
    <col min="14340" max="14340" width="12.42578125" customWidth="1"/>
    <col min="14341" max="14341" width="12" customWidth="1"/>
    <col min="14342" max="14342" width="28.85546875" customWidth="1"/>
    <col min="14344" max="14345" width="0" hidden="1" customWidth="1"/>
    <col min="14346" max="14346" width="14.5703125" customWidth="1"/>
    <col min="14347" max="14348" width="0" hidden="1" customWidth="1"/>
    <col min="14350" max="14351" width="0" hidden="1" customWidth="1"/>
    <col min="14361" max="14361" width="0" hidden="1" customWidth="1"/>
    <col min="14594" max="14594" width="11.5703125" customWidth="1"/>
    <col min="14596" max="14596" width="12.42578125" customWidth="1"/>
    <col min="14597" max="14597" width="12" customWidth="1"/>
    <col min="14598" max="14598" width="28.85546875" customWidth="1"/>
    <col min="14600" max="14601" width="0" hidden="1" customWidth="1"/>
    <col min="14602" max="14602" width="14.5703125" customWidth="1"/>
    <col min="14603" max="14604" width="0" hidden="1" customWidth="1"/>
    <col min="14606" max="14607" width="0" hidden="1" customWidth="1"/>
    <col min="14617" max="14617" width="0" hidden="1" customWidth="1"/>
    <col min="14850" max="14850" width="11.5703125" customWidth="1"/>
    <col min="14852" max="14852" width="12.42578125" customWidth="1"/>
    <col min="14853" max="14853" width="12" customWidth="1"/>
    <col min="14854" max="14854" width="28.85546875" customWidth="1"/>
    <col min="14856" max="14857" width="0" hidden="1" customWidth="1"/>
    <col min="14858" max="14858" width="14.5703125" customWidth="1"/>
    <col min="14859" max="14860" width="0" hidden="1" customWidth="1"/>
    <col min="14862" max="14863" width="0" hidden="1" customWidth="1"/>
    <col min="14873" max="14873" width="0" hidden="1" customWidth="1"/>
    <col min="15106" max="15106" width="11.5703125" customWidth="1"/>
    <col min="15108" max="15108" width="12.42578125" customWidth="1"/>
    <col min="15109" max="15109" width="12" customWidth="1"/>
    <col min="15110" max="15110" width="28.85546875" customWidth="1"/>
    <col min="15112" max="15113" width="0" hidden="1" customWidth="1"/>
    <col min="15114" max="15114" width="14.5703125" customWidth="1"/>
    <col min="15115" max="15116" width="0" hidden="1" customWidth="1"/>
    <col min="15118" max="15119" width="0" hidden="1" customWidth="1"/>
    <col min="15129" max="15129" width="0" hidden="1" customWidth="1"/>
    <col min="15362" max="15362" width="11.5703125" customWidth="1"/>
    <col min="15364" max="15364" width="12.42578125" customWidth="1"/>
    <col min="15365" max="15365" width="12" customWidth="1"/>
    <col min="15366" max="15366" width="28.85546875" customWidth="1"/>
    <col min="15368" max="15369" width="0" hidden="1" customWidth="1"/>
    <col min="15370" max="15370" width="14.5703125" customWidth="1"/>
    <col min="15371" max="15372" width="0" hidden="1" customWidth="1"/>
    <col min="15374" max="15375" width="0" hidden="1" customWidth="1"/>
    <col min="15385" max="15385" width="0" hidden="1" customWidth="1"/>
    <col min="15618" max="15618" width="11.5703125" customWidth="1"/>
    <col min="15620" max="15620" width="12.42578125" customWidth="1"/>
    <col min="15621" max="15621" width="12" customWidth="1"/>
    <col min="15622" max="15622" width="28.85546875" customWidth="1"/>
    <col min="15624" max="15625" width="0" hidden="1" customWidth="1"/>
    <col min="15626" max="15626" width="14.5703125" customWidth="1"/>
    <col min="15627" max="15628" width="0" hidden="1" customWidth="1"/>
    <col min="15630" max="15631" width="0" hidden="1" customWidth="1"/>
    <col min="15641" max="15641" width="0" hidden="1" customWidth="1"/>
    <col min="15874" max="15874" width="11.5703125" customWidth="1"/>
    <col min="15876" max="15876" width="12.42578125" customWidth="1"/>
    <col min="15877" max="15877" width="12" customWidth="1"/>
    <col min="15878" max="15878" width="28.85546875" customWidth="1"/>
    <col min="15880" max="15881" width="0" hidden="1" customWidth="1"/>
    <col min="15882" max="15882" width="14.5703125" customWidth="1"/>
    <col min="15883" max="15884" width="0" hidden="1" customWidth="1"/>
    <col min="15886" max="15887" width="0" hidden="1" customWidth="1"/>
    <col min="15897" max="15897" width="0" hidden="1" customWidth="1"/>
    <col min="16130" max="16130" width="11.5703125" customWidth="1"/>
    <col min="16132" max="16132" width="12.42578125" customWidth="1"/>
    <col min="16133" max="16133" width="12" customWidth="1"/>
    <col min="16134" max="16134" width="28.85546875" customWidth="1"/>
    <col min="16136" max="16137" width="0" hidden="1" customWidth="1"/>
    <col min="16138" max="16138" width="14.5703125" customWidth="1"/>
    <col min="16139" max="16140" width="0" hidden="1" customWidth="1"/>
    <col min="16142" max="16143" width="0" hidden="1" customWidth="1"/>
    <col min="16153" max="16153" width="0" hidden="1" customWidth="1"/>
  </cols>
  <sheetData>
    <row r="1" spans="1:26" ht="45" customHeight="1">
      <c r="F1" s="14"/>
    </row>
    <row r="2" spans="1:26" ht="24" customHeight="1">
      <c r="A2" s="661"/>
      <c r="B2" s="661"/>
      <c r="C2" s="794" t="s">
        <v>1317</v>
      </c>
      <c r="D2" s="794"/>
      <c r="E2" s="794"/>
      <c r="F2" s="794"/>
      <c r="G2" s="794"/>
      <c r="H2" s="794"/>
      <c r="I2" s="794"/>
      <c r="J2" s="794"/>
      <c r="K2" s="794"/>
      <c r="L2" s="794"/>
      <c r="M2" s="794"/>
      <c r="N2" s="794"/>
      <c r="O2" s="794"/>
      <c r="P2" s="794"/>
      <c r="Q2" s="794"/>
      <c r="R2" s="794"/>
      <c r="S2" s="794"/>
      <c r="T2" s="794"/>
      <c r="U2" s="794"/>
      <c r="V2" s="794"/>
      <c r="W2" s="794"/>
      <c r="X2" s="794"/>
      <c r="Y2" s="13"/>
    </row>
    <row r="3" spans="1:26" ht="20.25" customHeight="1">
      <c r="A3" s="661"/>
      <c r="B3" s="661"/>
      <c r="C3" s="785" t="s">
        <v>1322</v>
      </c>
      <c r="D3" s="785"/>
      <c r="E3" s="785"/>
      <c r="F3" s="785"/>
      <c r="G3" s="785"/>
      <c r="H3" s="785"/>
      <c r="I3" s="785"/>
      <c r="J3" s="785"/>
      <c r="K3" s="785"/>
      <c r="L3" s="785"/>
      <c r="M3" s="785"/>
      <c r="N3" s="785"/>
      <c r="O3" s="785"/>
      <c r="P3" s="785"/>
      <c r="Q3" s="785"/>
      <c r="R3" s="785"/>
      <c r="S3" s="785"/>
      <c r="T3" s="785"/>
      <c r="U3" s="785"/>
      <c r="V3" s="785"/>
      <c r="W3" s="785"/>
      <c r="X3" s="785"/>
      <c r="Y3" s="13"/>
    </row>
    <row r="4" spans="1:26" ht="18.75" customHeight="1">
      <c r="A4" s="661"/>
      <c r="B4" s="661"/>
      <c r="C4" s="784" t="s">
        <v>1035</v>
      </c>
      <c r="D4" s="784"/>
      <c r="E4" s="784"/>
      <c r="F4" s="784"/>
      <c r="G4" s="784"/>
      <c r="H4" s="784"/>
      <c r="I4" s="784"/>
      <c r="J4" s="784"/>
      <c r="K4" s="784"/>
      <c r="L4" s="784"/>
      <c r="M4" s="784"/>
      <c r="N4" s="784"/>
      <c r="O4" s="784"/>
      <c r="P4" s="784"/>
      <c r="Q4" s="784"/>
      <c r="R4" s="784"/>
      <c r="S4" s="784"/>
      <c r="T4" s="784"/>
      <c r="U4" s="784"/>
      <c r="V4" s="784"/>
      <c r="W4" s="784"/>
      <c r="X4" s="784"/>
      <c r="Y4" s="13"/>
    </row>
    <row r="5" spans="1:26" ht="42.75" customHeight="1">
      <c r="A5" s="661"/>
      <c r="B5" s="661"/>
      <c r="C5" s="704" t="s">
        <v>1329</v>
      </c>
      <c r="D5" s="704"/>
      <c r="E5" s="704"/>
      <c r="F5" s="704"/>
      <c r="G5" s="704"/>
      <c r="H5" s="704"/>
      <c r="I5" s="704"/>
      <c r="J5" s="704"/>
      <c r="K5" s="704"/>
      <c r="L5" s="704"/>
      <c r="M5" s="704"/>
      <c r="N5" s="704"/>
      <c r="O5" s="704"/>
      <c r="P5" s="704"/>
      <c r="Q5" s="704"/>
      <c r="R5" s="704"/>
      <c r="S5" s="704"/>
      <c r="T5" s="704"/>
      <c r="U5" s="704"/>
      <c r="V5" s="704"/>
      <c r="W5" s="704"/>
      <c r="X5" s="704"/>
      <c r="Y5" s="13"/>
    </row>
    <row r="6" spans="1:26" s="11" customFormat="1" ht="16.5" customHeight="1" thickBot="1">
      <c r="A6" s="602"/>
      <c r="B6" s="602"/>
      <c r="C6" s="605"/>
      <c r="D6" s="605"/>
      <c r="E6" s="605"/>
      <c r="F6" s="605"/>
      <c r="G6" s="605"/>
      <c r="H6" s="605"/>
      <c r="I6" s="605"/>
      <c r="J6" s="786" t="s">
        <v>1318</v>
      </c>
      <c r="K6" s="786"/>
      <c r="L6" s="786"/>
      <c r="M6" s="786"/>
      <c r="N6" s="786"/>
      <c r="O6" s="786"/>
      <c r="P6" s="786"/>
      <c r="Q6" s="605"/>
      <c r="R6" s="605"/>
      <c r="S6" s="605"/>
      <c r="T6" s="605"/>
      <c r="U6" s="605"/>
      <c r="V6" s="605"/>
      <c r="W6" s="605"/>
      <c r="X6" s="605"/>
      <c r="Y6" s="132"/>
    </row>
    <row r="7" spans="1:26">
      <c r="B7" s="753" t="s">
        <v>900</v>
      </c>
      <c r="C7" s="754"/>
      <c r="D7" s="759">
        <v>2063000</v>
      </c>
      <c r="E7" s="760"/>
      <c r="F7" s="328"/>
      <c r="G7" s="275"/>
      <c r="H7" s="15"/>
      <c r="I7" s="15"/>
      <c r="J7" s="15"/>
      <c r="O7" s="13"/>
      <c r="P7" s="13"/>
    </row>
    <row r="8" spans="1:26">
      <c r="B8" s="755" t="s">
        <v>901</v>
      </c>
      <c r="C8" s="756"/>
      <c r="D8" s="742">
        <f>G16</f>
        <v>2063000</v>
      </c>
      <c r="E8" s="743"/>
      <c r="F8" s="328"/>
      <c r="G8" s="275"/>
      <c r="H8" s="276"/>
      <c r="I8" s="276"/>
      <c r="J8" s="276"/>
      <c r="O8" s="13"/>
      <c r="P8" s="13"/>
    </row>
    <row r="9" spans="1:26">
      <c r="B9" s="755" t="s">
        <v>5</v>
      </c>
      <c r="C9" s="756"/>
      <c r="D9" s="742">
        <f>J16</f>
        <v>2043940.84</v>
      </c>
      <c r="E9" s="743"/>
      <c r="F9" s="328"/>
      <c r="G9" s="275"/>
      <c r="H9" s="276"/>
      <c r="I9" s="276"/>
      <c r="J9" s="276"/>
      <c r="O9" s="13"/>
      <c r="P9" s="13"/>
    </row>
    <row r="10" spans="1:26" ht="15.75" thickBot="1">
      <c r="B10" s="757" t="s">
        <v>13</v>
      </c>
      <c r="C10" s="758"/>
      <c r="D10" s="744">
        <f>M16</f>
        <v>19059.159999999916</v>
      </c>
      <c r="E10" s="745"/>
      <c r="F10" s="604"/>
      <c r="G10" s="275"/>
      <c r="H10" s="15"/>
      <c r="I10" s="15"/>
      <c r="J10" s="15"/>
      <c r="X10" s="16"/>
    </row>
    <row r="11" spans="1:26" ht="15.75" thickBot="1">
      <c r="B11" s="112"/>
      <c r="C11" s="112"/>
      <c r="D11" s="112"/>
      <c r="E11" s="112"/>
      <c r="F11" s="305"/>
      <c r="G11" s="275"/>
      <c r="H11" s="15"/>
      <c r="I11" s="15"/>
      <c r="J11" s="15"/>
      <c r="W11" s="16"/>
      <c r="X11" s="16" t="s">
        <v>1039</v>
      </c>
    </row>
    <row r="12" spans="1:26" ht="16.5" thickTop="1" thickBot="1">
      <c r="A12" s="17"/>
      <c r="B12" s="17"/>
      <c r="C12" s="17"/>
      <c r="D12" s="17"/>
      <c r="E12" s="18"/>
      <c r="F12" s="17"/>
      <c r="G12" s="748" t="s">
        <v>14</v>
      </c>
      <c r="H12" s="749"/>
      <c r="I12" s="750"/>
      <c r="J12" s="751" t="s">
        <v>511</v>
      </c>
      <c r="K12" s="749"/>
      <c r="L12" s="750"/>
      <c r="M12" s="752" t="s">
        <v>16</v>
      </c>
      <c r="N12" s="752"/>
      <c r="O12" s="752"/>
      <c r="P12" s="19"/>
      <c r="Q12" s="20"/>
      <c r="R12" s="20"/>
      <c r="S12" s="21"/>
      <c r="T12" s="21"/>
      <c r="U12" s="21"/>
      <c r="V12" s="22"/>
      <c r="W12" s="20"/>
      <c r="X12" s="20"/>
      <c r="Y12" s="20"/>
    </row>
    <row r="13" spans="1:26" ht="40.5" customHeight="1" thickTop="1" thickBot="1">
      <c r="A13" s="163" t="s">
        <v>17</v>
      </c>
      <c r="B13" s="164" t="s">
        <v>18</v>
      </c>
      <c r="C13" s="164" t="s">
        <v>19</v>
      </c>
      <c r="D13" s="164" t="s">
        <v>20</v>
      </c>
      <c r="E13" s="165" t="s">
        <v>94</v>
      </c>
      <c r="F13" s="164" t="s">
        <v>22</v>
      </c>
      <c r="G13" s="166" t="s">
        <v>23</v>
      </c>
      <c r="H13" s="166" t="s">
        <v>95</v>
      </c>
      <c r="I13" s="166" t="s">
        <v>24</v>
      </c>
      <c r="J13" s="166" t="s">
        <v>23</v>
      </c>
      <c r="K13" s="166" t="s">
        <v>95</v>
      </c>
      <c r="L13" s="166" t="s">
        <v>24</v>
      </c>
      <c r="M13" s="166" t="s">
        <v>23</v>
      </c>
      <c r="N13" s="167" t="s">
        <v>95</v>
      </c>
      <c r="O13" s="166" t="s">
        <v>24</v>
      </c>
      <c r="P13" s="164" t="s">
        <v>25</v>
      </c>
      <c r="Q13" s="164" t="s">
        <v>26</v>
      </c>
      <c r="R13" s="164" t="s">
        <v>27</v>
      </c>
      <c r="S13" s="746" t="s">
        <v>28</v>
      </c>
      <c r="T13" s="747"/>
      <c r="U13" s="256" t="s">
        <v>29</v>
      </c>
      <c r="V13" s="164" t="s">
        <v>30</v>
      </c>
      <c r="W13" s="164" t="s">
        <v>31</v>
      </c>
      <c r="X13" s="168" t="s">
        <v>32</v>
      </c>
      <c r="Y13" s="29"/>
    </row>
    <row r="14" spans="1:26" s="189" customFormat="1" ht="102.75" customHeight="1" thickTop="1">
      <c r="A14" s="244" t="s">
        <v>512</v>
      </c>
      <c r="B14" s="245">
        <v>43098</v>
      </c>
      <c r="C14" s="246" t="s">
        <v>513</v>
      </c>
      <c r="D14" s="246" t="s">
        <v>514</v>
      </c>
      <c r="E14" s="246" t="s">
        <v>515</v>
      </c>
      <c r="F14" s="247" t="s">
        <v>899</v>
      </c>
      <c r="G14" s="307">
        <f>H14+I14</f>
        <v>2063000</v>
      </c>
      <c r="H14" s="308">
        <v>1444100</v>
      </c>
      <c r="I14" s="308">
        <v>618900</v>
      </c>
      <c r="J14" s="307">
        <f>K14+L14</f>
        <v>2043940.84</v>
      </c>
      <c r="K14" s="308">
        <f>136500+0+0+0+1294258.6</f>
        <v>1430758.6</v>
      </c>
      <c r="L14" s="308">
        <f>58499.99+0+0+554682.25</f>
        <v>613182.24</v>
      </c>
      <c r="M14" s="307">
        <f>N14+O14</f>
        <v>19059.159999999916</v>
      </c>
      <c r="N14" s="309">
        <f>H14-K14</f>
        <v>13341.399999999907</v>
      </c>
      <c r="O14" s="309">
        <f>I14-L14</f>
        <v>5717.7600000000093</v>
      </c>
      <c r="P14" s="248" t="s">
        <v>36</v>
      </c>
      <c r="Q14" s="475">
        <f>J14/G14</f>
        <v>0.99076143480368395</v>
      </c>
      <c r="R14" s="475">
        <f>K14/H14</f>
        <v>0.9907614431133579</v>
      </c>
      <c r="S14" s="314">
        <v>1</v>
      </c>
      <c r="T14" s="310">
        <v>1</v>
      </c>
      <c r="U14" s="311">
        <v>877190</v>
      </c>
      <c r="V14" s="312" t="s">
        <v>38</v>
      </c>
      <c r="W14" s="312" t="s">
        <v>38</v>
      </c>
      <c r="X14" s="313" t="s">
        <v>39</v>
      </c>
      <c r="Y14" s="249"/>
      <c r="Z14" s="249"/>
    </row>
    <row r="15" spans="1:26" ht="15.75" thickBot="1">
      <c r="A15" s="31"/>
      <c r="B15" s="30"/>
      <c r="C15" s="31"/>
      <c r="D15" s="32"/>
      <c r="E15" s="33"/>
      <c r="F15" s="43"/>
      <c r="G15" s="34"/>
      <c r="H15" s="35"/>
      <c r="I15" s="35"/>
      <c r="J15" s="34"/>
      <c r="K15" s="35"/>
      <c r="L15" s="35"/>
      <c r="M15" s="34"/>
      <c r="N15" s="36"/>
      <c r="O15" s="35"/>
      <c r="P15" s="37"/>
      <c r="Q15" s="38"/>
      <c r="R15" s="38"/>
      <c r="S15" s="39"/>
      <c r="T15" s="40"/>
      <c r="U15" s="41"/>
      <c r="V15" s="42"/>
      <c r="W15" s="42"/>
      <c r="X15" s="42"/>
    </row>
    <row r="16" spans="1:26" ht="30.75" customHeight="1" thickTop="1" thickBot="1">
      <c r="A16" s="44"/>
      <c r="B16" s="44"/>
      <c r="C16" s="44"/>
      <c r="D16" s="44"/>
      <c r="E16" s="45"/>
      <c r="F16" s="193" t="s">
        <v>89</v>
      </c>
      <c r="G16" s="194">
        <f t="shared" ref="G16:O16" si="0">SUBTOTAL(9,G14:G15)</f>
        <v>2063000</v>
      </c>
      <c r="H16" s="194">
        <f t="shared" si="0"/>
        <v>1444100</v>
      </c>
      <c r="I16" s="194">
        <f t="shared" si="0"/>
        <v>618900</v>
      </c>
      <c r="J16" s="194">
        <f t="shared" si="0"/>
        <v>2043940.84</v>
      </c>
      <c r="K16" s="194">
        <f t="shared" si="0"/>
        <v>1430758.6</v>
      </c>
      <c r="L16" s="194">
        <f t="shared" si="0"/>
        <v>613182.24</v>
      </c>
      <c r="M16" s="194">
        <f t="shared" si="0"/>
        <v>19059.159999999916</v>
      </c>
      <c r="N16" s="48">
        <f t="shared" si="0"/>
        <v>13341.399999999907</v>
      </c>
      <c r="O16" s="48">
        <f t="shared" si="0"/>
        <v>5717.7600000000093</v>
      </c>
      <c r="P16" s="49"/>
      <c r="Q16" s="29"/>
      <c r="R16" s="29"/>
      <c r="S16" s="50"/>
      <c r="T16" s="51"/>
      <c r="U16" s="51"/>
      <c r="V16" s="46"/>
      <c r="W16" s="29"/>
      <c r="X16" s="29"/>
    </row>
    <row r="17" spans="1:24" ht="15.75" thickTop="1">
      <c r="A17" s="52"/>
      <c r="B17" s="29"/>
      <c r="C17" s="29" t="s">
        <v>90</v>
      </c>
      <c r="D17" s="53"/>
      <c r="E17" s="53"/>
      <c r="F17" s="29"/>
      <c r="G17" s="54"/>
      <c r="H17" s="54"/>
      <c r="I17" s="54"/>
      <c r="J17" s="54"/>
      <c r="K17" s="54"/>
      <c r="L17" s="54"/>
      <c r="M17" s="54"/>
      <c r="N17" s="55"/>
      <c r="O17" s="55"/>
      <c r="P17" s="46"/>
      <c r="Q17" s="29"/>
      <c r="R17" s="29"/>
      <c r="S17" s="50"/>
      <c r="T17" s="51"/>
      <c r="U17" s="51"/>
      <c r="V17" s="46"/>
      <c r="W17" s="29"/>
      <c r="X17" s="29"/>
    </row>
    <row r="18" spans="1:24">
      <c r="A18" s="56" t="s">
        <v>91</v>
      </c>
      <c r="F18" s="14"/>
    </row>
    <row r="22" spans="1:24">
      <c r="F22" s="3"/>
    </row>
  </sheetData>
  <mergeCells count="18">
    <mergeCell ref="C4:X4"/>
    <mergeCell ref="J6:P6"/>
    <mergeCell ref="D8:E8"/>
    <mergeCell ref="D9:E9"/>
    <mergeCell ref="D10:E10"/>
    <mergeCell ref="S13:T13"/>
    <mergeCell ref="A2:B5"/>
    <mergeCell ref="C2:X2"/>
    <mergeCell ref="C5:X5"/>
    <mergeCell ref="G12:I12"/>
    <mergeCell ref="J12:L12"/>
    <mergeCell ref="M12:O12"/>
    <mergeCell ref="B7:C7"/>
    <mergeCell ref="B8:C8"/>
    <mergeCell ref="B9:C9"/>
    <mergeCell ref="B10:C10"/>
    <mergeCell ref="D7:E7"/>
    <mergeCell ref="C3:X3"/>
  </mergeCells>
  <pageMargins left="0.31496062992125984" right="0.31496062992125984" top="0.74803149606299213" bottom="0.74803149606299213" header="0.31496062992125984" footer="0.31496062992125984"/>
  <pageSetup scale="54"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workbookViewId="0">
      <selection activeCell="F6" sqref="F6"/>
    </sheetView>
  </sheetViews>
  <sheetFormatPr baseColWidth="10" defaultColWidth="15" defaultRowHeight="15"/>
  <cols>
    <col min="1" max="1" width="11.28515625" customWidth="1"/>
    <col min="2" max="2" width="12" customWidth="1"/>
    <col min="3" max="3" width="16.140625" customWidth="1"/>
    <col min="4" max="4" width="0" hidden="1" customWidth="1"/>
    <col min="5" max="5" width="11.140625" customWidth="1"/>
    <col min="6" max="6" width="22" customWidth="1"/>
    <col min="8" max="11" width="15" hidden="1" customWidth="1"/>
    <col min="13" max="16" width="15" hidden="1" customWidth="1"/>
    <col min="17" max="17" width="12" customWidth="1"/>
    <col min="18" max="21" width="0" hidden="1" customWidth="1"/>
    <col min="22" max="22" width="12.140625" customWidth="1"/>
    <col min="23" max="23" width="10.28515625" customWidth="1"/>
    <col min="24" max="24" width="9.140625" customWidth="1"/>
    <col min="25" max="25" width="9.28515625" customWidth="1"/>
    <col min="26" max="26" width="9.7109375" customWidth="1"/>
    <col min="27" max="28" width="12.5703125" customWidth="1"/>
  </cols>
  <sheetData>
    <row r="1" spans="1:30">
      <c r="A1" s="13"/>
      <c r="B1" s="13"/>
    </row>
    <row r="2" spans="1:30" ht="15" customHeight="1">
      <c r="A2" s="281"/>
      <c r="B2" s="281"/>
      <c r="C2" s="794" t="s">
        <v>1317</v>
      </c>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row>
    <row r="3" spans="1:30" ht="15" customHeight="1">
      <c r="A3" s="281"/>
      <c r="B3" s="281"/>
      <c r="C3" s="714" t="s">
        <v>1327</v>
      </c>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row>
    <row r="4" spans="1:30" ht="15" customHeight="1">
      <c r="A4" s="281"/>
      <c r="B4" s="281"/>
      <c r="C4" s="714" t="s">
        <v>803</v>
      </c>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row>
    <row r="5" spans="1:30" ht="44.25" customHeight="1">
      <c r="A5" s="281"/>
      <c r="B5" s="281"/>
      <c r="C5" s="668" t="s">
        <v>1328</v>
      </c>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row>
    <row r="6" spans="1:30" ht="19.5" thickBot="1">
      <c r="A6" s="13"/>
      <c r="N6" s="13"/>
      <c r="O6" s="13"/>
      <c r="Q6" s="786" t="s">
        <v>1318</v>
      </c>
      <c r="R6" s="786"/>
      <c r="S6" s="786"/>
      <c r="T6" s="786"/>
      <c r="U6" s="786"/>
      <c r="V6" s="786"/>
      <c r="W6" s="786"/>
    </row>
    <row r="7" spans="1:30">
      <c r="A7" s="763" t="s">
        <v>114</v>
      </c>
      <c r="B7" s="764"/>
      <c r="C7" s="277">
        <f>G15</f>
        <v>500000</v>
      </c>
      <c r="D7" s="170"/>
      <c r="E7" s="170"/>
      <c r="F7" s="15"/>
      <c r="N7" s="13"/>
      <c r="O7" s="13"/>
    </row>
    <row r="8" spans="1:30">
      <c r="A8" s="765" t="s">
        <v>842</v>
      </c>
      <c r="B8" s="766"/>
      <c r="C8" s="278">
        <f>L15</f>
        <v>500000</v>
      </c>
      <c r="D8" s="170"/>
      <c r="E8" s="170"/>
      <c r="F8" s="15"/>
    </row>
    <row r="9" spans="1:30">
      <c r="A9" s="765" t="s">
        <v>5</v>
      </c>
      <c r="B9" s="766"/>
      <c r="C9" s="279">
        <f>M15+N15+P15</f>
        <v>500000</v>
      </c>
      <c r="D9" s="121"/>
      <c r="E9" s="121"/>
      <c r="Q9" s="60"/>
      <c r="S9" s="122"/>
      <c r="U9" s="122"/>
      <c r="AD9" s="16"/>
    </row>
    <row r="10" spans="1:30" ht="15.75" thickBot="1">
      <c r="A10" s="767" t="s">
        <v>13</v>
      </c>
      <c r="B10" s="768"/>
      <c r="C10" s="280">
        <f>C8-C9</f>
        <v>0</v>
      </c>
      <c r="D10" s="121"/>
      <c r="E10" s="121"/>
      <c r="S10" s="122"/>
      <c r="U10" s="122"/>
      <c r="AD10" s="123" t="s">
        <v>1039</v>
      </c>
    </row>
    <row r="11" spans="1:30" s="20" customFormat="1" ht="16.5" thickTop="1" thickBot="1">
      <c r="A11" s="17"/>
      <c r="B11" s="17"/>
      <c r="C11" s="17"/>
      <c r="D11" s="17"/>
      <c r="E11" s="17"/>
      <c r="F11" s="17"/>
      <c r="G11" s="719" t="s">
        <v>14</v>
      </c>
      <c r="H11" s="720"/>
      <c r="I11" s="720"/>
      <c r="J11" s="720"/>
      <c r="K11" s="721"/>
      <c r="L11" s="719" t="s">
        <v>15</v>
      </c>
      <c r="M11" s="720"/>
      <c r="N11" s="720"/>
      <c r="O11" s="720"/>
      <c r="P11" s="721"/>
      <c r="Q11" s="722" t="s">
        <v>16</v>
      </c>
      <c r="R11" s="723"/>
      <c r="S11" s="723"/>
      <c r="T11" s="723"/>
      <c r="U11" s="724"/>
      <c r="V11" s="124"/>
      <c r="Y11" s="125"/>
      <c r="Z11" s="125"/>
      <c r="AA11" s="125"/>
      <c r="AB11" s="22"/>
    </row>
    <row r="12" spans="1:30" s="29" customFormat="1" ht="34.5" customHeight="1" thickBot="1">
      <c r="A12" s="137" t="s">
        <v>183</v>
      </c>
      <c r="B12" s="138" t="s">
        <v>18</v>
      </c>
      <c r="C12" s="138" t="s">
        <v>19</v>
      </c>
      <c r="D12" s="126" t="s">
        <v>20</v>
      </c>
      <c r="E12" s="126" t="s">
        <v>94</v>
      </c>
      <c r="F12" s="126" t="s">
        <v>22</v>
      </c>
      <c r="G12" s="126" t="s">
        <v>23</v>
      </c>
      <c r="H12" s="126" t="s">
        <v>24</v>
      </c>
      <c r="I12" s="126" t="s">
        <v>791</v>
      </c>
      <c r="J12" s="126" t="s">
        <v>792</v>
      </c>
      <c r="K12" s="126" t="s">
        <v>95</v>
      </c>
      <c r="L12" s="127" t="s">
        <v>23</v>
      </c>
      <c r="M12" s="126" t="s">
        <v>24</v>
      </c>
      <c r="N12" s="126" t="s">
        <v>791</v>
      </c>
      <c r="O12" s="126" t="s">
        <v>792</v>
      </c>
      <c r="P12" s="126" t="s">
        <v>95</v>
      </c>
      <c r="Q12" s="126" t="s">
        <v>23</v>
      </c>
      <c r="R12" s="126" t="s">
        <v>24</v>
      </c>
      <c r="S12" s="126" t="s">
        <v>791</v>
      </c>
      <c r="T12" s="126" t="s">
        <v>792</v>
      </c>
      <c r="U12" s="126" t="s">
        <v>95</v>
      </c>
      <c r="V12" s="126" t="s">
        <v>25</v>
      </c>
      <c r="W12" s="126" t="s">
        <v>26</v>
      </c>
      <c r="X12" s="126" t="s">
        <v>27</v>
      </c>
      <c r="Y12" s="761" t="s">
        <v>28</v>
      </c>
      <c r="Z12" s="762"/>
      <c r="AA12" s="126" t="s">
        <v>29</v>
      </c>
      <c r="AB12" s="126" t="s">
        <v>30</v>
      </c>
      <c r="AC12" s="126" t="s">
        <v>31</v>
      </c>
      <c r="AD12" s="128" t="s">
        <v>317</v>
      </c>
    </row>
    <row r="13" spans="1:30" s="269" customFormat="1" ht="89.1" customHeight="1">
      <c r="A13" s="545" t="s">
        <v>321</v>
      </c>
      <c r="B13" s="207">
        <v>43342</v>
      </c>
      <c r="C13" s="208" t="s">
        <v>793</v>
      </c>
      <c r="D13" s="208" t="s">
        <v>843</v>
      </c>
      <c r="E13" s="208">
        <v>189</v>
      </c>
      <c r="F13" s="209" t="s">
        <v>794</v>
      </c>
      <c r="G13" s="210">
        <f>H13+I13+J13+K13</f>
        <v>500000</v>
      </c>
      <c r="H13" s="211">
        <v>167500</v>
      </c>
      <c r="I13" s="211">
        <v>167500</v>
      </c>
      <c r="J13" s="211">
        <v>0</v>
      </c>
      <c r="K13" s="211">
        <v>165000</v>
      </c>
      <c r="L13" s="461">
        <f t="shared" ref="L13" si="0">+M13+N13+O13+P13</f>
        <v>500000</v>
      </c>
      <c r="M13" s="215">
        <f>H13</f>
        <v>167500</v>
      </c>
      <c r="N13" s="215">
        <f>I13</f>
        <v>167500</v>
      </c>
      <c r="O13" s="590"/>
      <c r="P13" s="211">
        <f>K13</f>
        <v>165000</v>
      </c>
      <c r="Q13" s="210">
        <f t="shared" ref="Q13" si="1">+G13-L13-S13-T13</f>
        <v>0</v>
      </c>
      <c r="R13" s="546">
        <f t="shared" ref="R13" si="2">H13-M13</f>
        <v>0</v>
      </c>
      <c r="S13" s="547"/>
      <c r="T13" s="547"/>
      <c r="U13" s="547"/>
      <c r="V13" s="212" t="s">
        <v>36</v>
      </c>
      <c r="W13" s="578">
        <f t="shared" ref="W13" si="3">L13/G13</f>
        <v>1</v>
      </c>
      <c r="X13" s="589">
        <f t="shared" ref="X13" si="4">W13</f>
        <v>1</v>
      </c>
      <c r="Y13" s="206">
        <v>1</v>
      </c>
      <c r="Z13" s="206">
        <v>100</v>
      </c>
      <c r="AA13" s="206">
        <v>100</v>
      </c>
      <c r="AB13" s="206" t="s">
        <v>186</v>
      </c>
      <c r="AC13" s="206" t="s">
        <v>186</v>
      </c>
      <c r="AD13" s="206" t="s">
        <v>186</v>
      </c>
    </row>
    <row r="14" spans="1:30" s="29" customFormat="1" ht="13.5" thickBot="1">
      <c r="A14" s="140"/>
      <c r="B14" s="141"/>
      <c r="C14" s="142"/>
      <c r="D14" s="142"/>
      <c r="E14" s="142"/>
      <c r="F14" s="143"/>
      <c r="G14" s="57"/>
      <c r="H14" s="80"/>
      <c r="I14" s="80"/>
      <c r="J14" s="80"/>
      <c r="K14" s="80"/>
      <c r="L14" s="144"/>
      <c r="M14" s="57"/>
      <c r="N14" s="57"/>
      <c r="O14" s="80"/>
      <c r="P14" s="80"/>
      <c r="Q14" s="57"/>
      <c r="R14" s="174"/>
      <c r="S14" s="145"/>
      <c r="T14" s="145"/>
      <c r="U14" s="145"/>
      <c r="V14" s="146"/>
      <c r="W14" s="147"/>
      <c r="X14" s="148"/>
      <c r="Y14" s="149"/>
      <c r="Z14" s="146"/>
      <c r="AA14" s="150"/>
      <c r="AB14" s="150"/>
      <c r="AC14" s="150"/>
      <c r="AD14" s="150"/>
    </row>
    <row r="15" spans="1:30" s="29" customFormat="1" ht="65.099999999999994" customHeight="1" thickTop="1" thickBot="1">
      <c r="A15" s="44"/>
      <c r="B15" s="44"/>
      <c r="C15" s="44"/>
      <c r="D15" s="44"/>
      <c r="E15" s="44"/>
      <c r="F15" s="259" t="s">
        <v>89</v>
      </c>
      <c r="G15" s="260">
        <f>H15+I15+J15+K15</f>
        <v>500000</v>
      </c>
      <c r="H15" s="260">
        <f>SUM(H13:H13)</f>
        <v>167500</v>
      </c>
      <c r="I15" s="260">
        <f t="shared" ref="I15:Q15" si="5">SUM(I13:I13)</f>
        <v>167500</v>
      </c>
      <c r="J15" s="260">
        <f t="shared" si="5"/>
        <v>0</v>
      </c>
      <c r="K15" s="260">
        <f t="shared" si="5"/>
        <v>165000</v>
      </c>
      <c r="L15" s="260">
        <f t="shared" si="5"/>
        <v>500000</v>
      </c>
      <c r="M15" s="260">
        <f t="shared" si="5"/>
        <v>167500</v>
      </c>
      <c r="N15" s="260">
        <f t="shared" si="5"/>
        <v>167500</v>
      </c>
      <c r="O15" s="260">
        <f t="shared" si="5"/>
        <v>0</v>
      </c>
      <c r="P15" s="260">
        <f t="shared" si="5"/>
        <v>165000</v>
      </c>
      <c r="Q15" s="260">
        <f t="shared" si="5"/>
        <v>0</v>
      </c>
      <c r="R15" s="48">
        <f>SUM(R13:T13)</f>
        <v>0</v>
      </c>
      <c r="S15" s="48"/>
      <c r="T15" s="48"/>
      <c r="U15" s="48">
        <f>SUM(U13:U13)</f>
        <v>0</v>
      </c>
      <c r="V15" s="54"/>
      <c r="W15" s="129"/>
      <c r="Y15" s="130"/>
      <c r="Z15" s="51"/>
      <c r="AA15" s="51"/>
      <c r="AB15" s="46"/>
    </row>
    <row r="16" spans="1:30" s="29" customFormat="1" ht="13.5" thickTop="1">
      <c r="A16" s="52"/>
      <c r="E16" s="131"/>
      <c r="G16" s="54"/>
      <c r="H16" s="131"/>
      <c r="I16" s="131"/>
      <c r="J16" s="131"/>
      <c r="K16" s="131"/>
      <c r="L16" s="131"/>
      <c r="M16" s="131"/>
      <c r="N16" s="131"/>
      <c r="O16" s="131"/>
      <c r="P16" s="131"/>
      <c r="Q16" s="131"/>
      <c r="V16" s="131"/>
      <c r="Y16" s="130"/>
      <c r="Z16" s="51"/>
      <c r="AA16" s="51"/>
      <c r="AB16" s="46"/>
    </row>
    <row r="17" spans="1:31" s="46" customFormat="1" ht="12.75">
      <c r="A17" s="56" t="s">
        <v>91</v>
      </c>
      <c r="B17" s="29"/>
      <c r="C17" s="29"/>
      <c r="D17" s="29"/>
      <c r="E17" s="29"/>
      <c r="F17" s="29"/>
      <c r="G17" s="131"/>
      <c r="H17" s="131"/>
      <c r="I17" s="131"/>
      <c r="J17" s="131"/>
      <c r="K17" s="131"/>
      <c r="L17" s="131"/>
      <c r="M17" s="131"/>
      <c r="N17" s="131"/>
      <c r="O17" s="131"/>
      <c r="P17" s="131"/>
      <c r="Q17" s="131"/>
      <c r="R17" s="55"/>
      <c r="S17" s="55"/>
      <c r="T17" s="55"/>
      <c r="U17" s="55"/>
      <c r="V17" s="131"/>
      <c r="W17" s="29"/>
      <c r="X17" s="29"/>
      <c r="Y17" s="130"/>
      <c r="Z17" s="51"/>
      <c r="AA17" s="51"/>
      <c r="AC17" s="29"/>
      <c r="AD17" s="29"/>
      <c r="AE17" s="29"/>
    </row>
    <row r="18" spans="1:31">
      <c r="L18" s="162"/>
    </row>
    <row r="19" spans="1:31">
      <c r="F19" s="1"/>
      <c r="G19" s="1"/>
    </row>
    <row r="20" spans="1:31">
      <c r="F20" s="1"/>
      <c r="G20" s="175"/>
    </row>
    <row r="21" spans="1:31">
      <c r="F21" s="1"/>
      <c r="G21" s="1"/>
    </row>
    <row r="22" spans="1:31">
      <c r="E22" s="3"/>
      <c r="F22" s="1"/>
      <c r="G22" s="1"/>
    </row>
    <row r="23" spans="1:31">
      <c r="F23" s="177"/>
      <c r="G23" s="1"/>
    </row>
    <row r="24" spans="1:31">
      <c r="F24" s="1"/>
      <c r="G24" s="1"/>
    </row>
    <row r="25" spans="1:31">
      <c r="F25" s="1"/>
      <c r="G25" s="1"/>
    </row>
  </sheetData>
  <mergeCells count="13">
    <mergeCell ref="C2:AD2"/>
    <mergeCell ref="C4:AD4"/>
    <mergeCell ref="C5:AD5"/>
    <mergeCell ref="G11:K11"/>
    <mergeCell ref="L11:P11"/>
    <mergeCell ref="Q11:U11"/>
    <mergeCell ref="C3:AD3"/>
    <mergeCell ref="Q6:W6"/>
    <mergeCell ref="Y12:Z12"/>
    <mergeCell ref="A7:B7"/>
    <mergeCell ref="A8:B8"/>
    <mergeCell ref="A9:B9"/>
    <mergeCell ref="A10:B10"/>
  </mergeCells>
  <pageMargins left="0.31496062992125984" right="0.31496062992125984" top="0.74803149606299213" bottom="0.74803149606299213" header="0.31496062992125984" footer="0.31496062992125984"/>
  <pageSetup scale="60"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workbookViewId="0">
      <selection activeCell="G10" sqref="G10"/>
    </sheetView>
  </sheetViews>
  <sheetFormatPr baseColWidth="10" defaultRowHeight="15"/>
  <cols>
    <col min="1" max="1" width="7.85546875" customWidth="1"/>
    <col min="2" max="2" width="13" customWidth="1"/>
    <col min="3" max="3" width="11.5703125" customWidth="1"/>
    <col min="4" max="4" width="15.7109375" hidden="1" customWidth="1"/>
    <col min="5" max="5" width="13.42578125" customWidth="1"/>
    <col min="6" max="6" width="30.42578125" customWidth="1"/>
    <col min="7" max="7" width="13.42578125" customWidth="1"/>
    <col min="8" max="8" width="11.42578125" hidden="1" customWidth="1"/>
    <col min="9" max="9" width="12.85546875" customWidth="1"/>
    <col min="10" max="10" width="11.42578125" hidden="1" customWidth="1"/>
    <col min="11" max="11" width="14.140625" customWidth="1"/>
    <col min="12" max="13" width="11.42578125" hidden="1" customWidth="1"/>
    <col min="14" max="14" width="12.7109375" hidden="1" customWidth="1"/>
    <col min="15" max="15" width="14.140625" hidden="1" customWidth="1"/>
    <col min="16" max="16" width="10.5703125" bestFit="1" customWidth="1"/>
    <col min="17" max="17" width="10.7109375" bestFit="1" customWidth="1"/>
    <col min="18" max="18" width="10.140625" customWidth="1"/>
    <col min="19" max="19" width="11.42578125" customWidth="1"/>
    <col min="20" max="20" width="6.5703125" customWidth="1"/>
    <col min="21" max="21" width="11.85546875" customWidth="1"/>
    <col min="22" max="22" width="11.5703125" customWidth="1"/>
    <col min="23" max="23" width="10.140625" customWidth="1"/>
    <col min="24" max="24" width="10.42578125" customWidth="1"/>
    <col min="253" max="253" width="28.85546875" customWidth="1"/>
    <col min="255" max="256" width="0" hidden="1" customWidth="1"/>
    <col min="258" max="259" width="0" hidden="1" customWidth="1"/>
    <col min="261" max="262" width="0" hidden="1" customWidth="1"/>
    <col min="509" max="509" width="28.85546875" customWidth="1"/>
    <col min="511" max="512" width="0" hidden="1" customWidth="1"/>
    <col min="514" max="515" width="0" hidden="1" customWidth="1"/>
    <col min="517" max="518" width="0" hidden="1" customWidth="1"/>
    <col min="765" max="765" width="28.85546875" customWidth="1"/>
    <col min="767" max="768" width="0" hidden="1" customWidth="1"/>
    <col min="770" max="771" width="0" hidden="1" customWidth="1"/>
    <col min="773" max="774" width="0" hidden="1" customWidth="1"/>
    <col min="1021" max="1021" width="28.85546875" customWidth="1"/>
    <col min="1023" max="1024" width="0" hidden="1" customWidth="1"/>
    <col min="1026" max="1027" width="0" hidden="1" customWidth="1"/>
    <col min="1029" max="1030" width="0" hidden="1" customWidth="1"/>
    <col min="1277" max="1277" width="28.85546875" customWidth="1"/>
    <col min="1279" max="1280" width="0" hidden="1" customWidth="1"/>
    <col min="1282" max="1283" width="0" hidden="1" customWidth="1"/>
    <col min="1285" max="1286" width="0" hidden="1" customWidth="1"/>
    <col min="1533" max="1533" width="28.85546875" customWidth="1"/>
    <col min="1535" max="1536" width="0" hidden="1" customWidth="1"/>
    <col min="1538" max="1539" width="0" hidden="1" customWidth="1"/>
    <col min="1541" max="1542" width="0" hidden="1" customWidth="1"/>
    <col min="1789" max="1789" width="28.85546875" customWidth="1"/>
    <col min="1791" max="1792" width="0" hidden="1" customWidth="1"/>
    <col min="1794" max="1795" width="0" hidden="1" customWidth="1"/>
    <col min="1797" max="1798" width="0" hidden="1" customWidth="1"/>
    <col min="2045" max="2045" width="28.85546875" customWidth="1"/>
    <col min="2047" max="2048" width="0" hidden="1" customWidth="1"/>
    <col min="2050" max="2051" width="0" hidden="1" customWidth="1"/>
    <col min="2053" max="2054" width="0" hidden="1" customWidth="1"/>
    <col min="2301" max="2301" width="28.85546875" customWidth="1"/>
    <col min="2303" max="2304" width="0" hidden="1" customWidth="1"/>
    <col min="2306" max="2307" width="0" hidden="1" customWidth="1"/>
    <col min="2309" max="2310" width="0" hidden="1" customWidth="1"/>
    <col min="2557" max="2557" width="28.85546875" customWidth="1"/>
    <col min="2559" max="2560" width="0" hidden="1" customWidth="1"/>
    <col min="2562" max="2563" width="0" hidden="1" customWidth="1"/>
    <col min="2565" max="2566" width="0" hidden="1" customWidth="1"/>
    <col min="2813" max="2813" width="28.85546875" customWidth="1"/>
    <col min="2815" max="2816" width="0" hidden="1" customWidth="1"/>
    <col min="2818" max="2819" width="0" hidden="1" customWidth="1"/>
    <col min="2821" max="2822" width="0" hidden="1" customWidth="1"/>
    <col min="3069" max="3069" width="28.85546875" customWidth="1"/>
    <col min="3071" max="3072" width="0" hidden="1" customWidth="1"/>
    <col min="3074" max="3075" width="0" hidden="1" customWidth="1"/>
    <col min="3077" max="3078" width="0" hidden="1" customWidth="1"/>
    <col min="3325" max="3325" width="28.85546875" customWidth="1"/>
    <col min="3327" max="3328" width="0" hidden="1" customWidth="1"/>
    <col min="3330" max="3331" width="0" hidden="1" customWidth="1"/>
    <col min="3333" max="3334" width="0" hidden="1" customWidth="1"/>
    <col min="3581" max="3581" width="28.85546875" customWidth="1"/>
    <col min="3583" max="3584" width="0" hidden="1" customWidth="1"/>
    <col min="3586" max="3587" width="0" hidden="1" customWidth="1"/>
    <col min="3589" max="3590" width="0" hidden="1" customWidth="1"/>
    <col min="3837" max="3837" width="28.85546875" customWidth="1"/>
    <col min="3839" max="3840" width="0" hidden="1" customWidth="1"/>
    <col min="3842" max="3843" width="0" hidden="1" customWidth="1"/>
    <col min="3845" max="3846" width="0" hidden="1" customWidth="1"/>
    <col min="4093" max="4093" width="28.85546875" customWidth="1"/>
    <col min="4095" max="4096" width="0" hidden="1" customWidth="1"/>
    <col min="4098" max="4099" width="0" hidden="1" customWidth="1"/>
    <col min="4101" max="4102" width="0" hidden="1" customWidth="1"/>
    <col min="4349" max="4349" width="28.85546875" customWidth="1"/>
    <col min="4351" max="4352" width="0" hidden="1" customWidth="1"/>
    <col min="4354" max="4355" width="0" hidden="1" customWidth="1"/>
    <col min="4357" max="4358" width="0" hidden="1" customWidth="1"/>
    <col min="4605" max="4605" width="28.85546875" customWidth="1"/>
    <col min="4607" max="4608" width="0" hidden="1" customWidth="1"/>
    <col min="4610" max="4611" width="0" hidden="1" customWidth="1"/>
    <col min="4613" max="4614" width="0" hidden="1" customWidth="1"/>
    <col min="4861" max="4861" width="28.85546875" customWidth="1"/>
    <col min="4863" max="4864" width="0" hidden="1" customWidth="1"/>
    <col min="4866" max="4867" width="0" hidden="1" customWidth="1"/>
    <col min="4869" max="4870" width="0" hidden="1" customWidth="1"/>
    <col min="5117" max="5117" width="28.85546875" customWidth="1"/>
    <col min="5119" max="5120" width="0" hidden="1" customWidth="1"/>
    <col min="5122" max="5123" width="0" hidden="1" customWidth="1"/>
    <col min="5125" max="5126" width="0" hidden="1" customWidth="1"/>
    <col min="5373" max="5373" width="28.85546875" customWidth="1"/>
    <col min="5375" max="5376" width="0" hidden="1" customWidth="1"/>
    <col min="5378" max="5379" width="0" hidden="1" customWidth="1"/>
    <col min="5381" max="5382" width="0" hidden="1" customWidth="1"/>
    <col min="5629" max="5629" width="28.85546875" customWidth="1"/>
    <col min="5631" max="5632" width="0" hidden="1" customWidth="1"/>
    <col min="5634" max="5635" width="0" hidden="1" customWidth="1"/>
    <col min="5637" max="5638" width="0" hidden="1" customWidth="1"/>
    <col min="5885" max="5885" width="28.85546875" customWidth="1"/>
    <col min="5887" max="5888" width="0" hidden="1" customWidth="1"/>
    <col min="5890" max="5891" width="0" hidden="1" customWidth="1"/>
    <col min="5893" max="5894" width="0" hidden="1" customWidth="1"/>
    <col min="6141" max="6141" width="28.85546875" customWidth="1"/>
    <col min="6143" max="6144" width="0" hidden="1" customWidth="1"/>
    <col min="6146" max="6147" width="0" hidden="1" customWidth="1"/>
    <col min="6149" max="6150" width="0" hidden="1" customWidth="1"/>
    <col min="6397" max="6397" width="28.85546875" customWidth="1"/>
    <col min="6399" max="6400" width="0" hidden="1" customWidth="1"/>
    <col min="6402" max="6403" width="0" hidden="1" customWidth="1"/>
    <col min="6405" max="6406" width="0" hidden="1" customWidth="1"/>
    <col min="6653" max="6653" width="28.85546875" customWidth="1"/>
    <col min="6655" max="6656" width="0" hidden="1" customWidth="1"/>
    <col min="6658" max="6659" width="0" hidden="1" customWidth="1"/>
    <col min="6661" max="6662" width="0" hidden="1" customWidth="1"/>
    <col min="6909" max="6909" width="28.85546875" customWidth="1"/>
    <col min="6911" max="6912" width="0" hidden="1" customWidth="1"/>
    <col min="6914" max="6915" width="0" hidden="1" customWidth="1"/>
    <col min="6917" max="6918" width="0" hidden="1" customWidth="1"/>
    <col min="7165" max="7165" width="28.85546875" customWidth="1"/>
    <col min="7167" max="7168" width="0" hidden="1" customWidth="1"/>
    <col min="7170" max="7171" width="0" hidden="1" customWidth="1"/>
    <col min="7173" max="7174" width="0" hidden="1" customWidth="1"/>
    <col min="7421" max="7421" width="28.85546875" customWidth="1"/>
    <col min="7423" max="7424" width="0" hidden="1" customWidth="1"/>
    <col min="7426" max="7427" width="0" hidden="1" customWidth="1"/>
    <col min="7429" max="7430" width="0" hidden="1" customWidth="1"/>
    <col min="7677" max="7677" width="28.85546875" customWidth="1"/>
    <col min="7679" max="7680" width="0" hidden="1" customWidth="1"/>
    <col min="7682" max="7683" width="0" hidden="1" customWidth="1"/>
    <col min="7685" max="7686" width="0" hidden="1" customWidth="1"/>
    <col min="7933" max="7933" width="28.85546875" customWidth="1"/>
    <col min="7935" max="7936" width="0" hidden="1" customWidth="1"/>
    <col min="7938" max="7939" width="0" hidden="1" customWidth="1"/>
    <col min="7941" max="7942" width="0" hidden="1" customWidth="1"/>
    <col min="8189" max="8189" width="28.85546875" customWidth="1"/>
    <col min="8191" max="8192" width="0" hidden="1" customWidth="1"/>
    <col min="8194" max="8195" width="0" hidden="1" customWidth="1"/>
    <col min="8197" max="8198" width="0" hidden="1" customWidth="1"/>
    <col min="8445" max="8445" width="28.85546875" customWidth="1"/>
    <col min="8447" max="8448" width="0" hidden="1" customWidth="1"/>
    <col min="8450" max="8451" width="0" hidden="1" customWidth="1"/>
    <col min="8453" max="8454" width="0" hidden="1" customWidth="1"/>
    <col min="8701" max="8701" width="28.85546875" customWidth="1"/>
    <col min="8703" max="8704" width="0" hidden="1" customWidth="1"/>
    <col min="8706" max="8707" width="0" hidden="1" customWidth="1"/>
    <col min="8709" max="8710" width="0" hidden="1" customWidth="1"/>
    <col min="8957" max="8957" width="28.85546875" customWidth="1"/>
    <col min="8959" max="8960" width="0" hidden="1" customWidth="1"/>
    <col min="8962" max="8963" width="0" hidden="1" customWidth="1"/>
    <col min="8965" max="8966" width="0" hidden="1" customWidth="1"/>
    <col min="9213" max="9213" width="28.85546875" customWidth="1"/>
    <col min="9215" max="9216" width="0" hidden="1" customWidth="1"/>
    <col min="9218" max="9219" width="0" hidden="1" customWidth="1"/>
    <col min="9221" max="9222" width="0" hidden="1" customWidth="1"/>
    <col min="9469" max="9469" width="28.85546875" customWidth="1"/>
    <col min="9471" max="9472" width="0" hidden="1" customWidth="1"/>
    <col min="9474" max="9475" width="0" hidden="1" customWidth="1"/>
    <col min="9477" max="9478" width="0" hidden="1" customWidth="1"/>
    <col min="9725" max="9725" width="28.85546875" customWidth="1"/>
    <col min="9727" max="9728" width="0" hidden="1" customWidth="1"/>
    <col min="9730" max="9731" width="0" hidden="1" customWidth="1"/>
    <col min="9733" max="9734" width="0" hidden="1" customWidth="1"/>
    <col min="9981" max="9981" width="28.85546875" customWidth="1"/>
    <col min="9983" max="9984" width="0" hidden="1" customWidth="1"/>
    <col min="9986" max="9987" width="0" hidden="1" customWidth="1"/>
    <col min="9989" max="9990" width="0" hidden="1" customWidth="1"/>
    <col min="10237" max="10237" width="28.85546875" customWidth="1"/>
    <col min="10239" max="10240" width="0" hidden="1" customWidth="1"/>
    <col min="10242" max="10243" width="0" hidden="1" customWidth="1"/>
    <col min="10245" max="10246" width="0" hidden="1" customWidth="1"/>
    <col min="10493" max="10493" width="28.85546875" customWidth="1"/>
    <col min="10495" max="10496" width="0" hidden="1" customWidth="1"/>
    <col min="10498" max="10499" width="0" hidden="1" customWidth="1"/>
    <col min="10501" max="10502" width="0" hidden="1" customWidth="1"/>
    <col min="10749" max="10749" width="28.85546875" customWidth="1"/>
    <col min="10751" max="10752" width="0" hidden="1" customWidth="1"/>
    <col min="10754" max="10755" width="0" hidden="1" customWidth="1"/>
    <col min="10757" max="10758" width="0" hidden="1" customWidth="1"/>
    <col min="11005" max="11005" width="28.85546875" customWidth="1"/>
    <col min="11007" max="11008" width="0" hidden="1" customWidth="1"/>
    <col min="11010" max="11011" width="0" hidden="1" customWidth="1"/>
    <col min="11013" max="11014" width="0" hidden="1" customWidth="1"/>
    <col min="11261" max="11261" width="28.85546875" customWidth="1"/>
    <col min="11263" max="11264" width="0" hidden="1" customWidth="1"/>
    <col min="11266" max="11267" width="0" hidden="1" customWidth="1"/>
    <col min="11269" max="11270" width="0" hidden="1" customWidth="1"/>
    <col min="11517" max="11517" width="28.85546875" customWidth="1"/>
    <col min="11519" max="11520" width="0" hidden="1" customWidth="1"/>
    <col min="11522" max="11523" width="0" hidden="1" customWidth="1"/>
    <col min="11525" max="11526" width="0" hidden="1" customWidth="1"/>
    <col min="11773" max="11773" width="28.85546875" customWidth="1"/>
    <col min="11775" max="11776" width="0" hidden="1" customWidth="1"/>
    <col min="11778" max="11779" width="0" hidden="1" customWidth="1"/>
    <col min="11781" max="11782" width="0" hidden="1" customWidth="1"/>
    <col min="12029" max="12029" width="28.85546875" customWidth="1"/>
    <col min="12031" max="12032" width="0" hidden="1" customWidth="1"/>
    <col min="12034" max="12035" width="0" hidden="1" customWidth="1"/>
    <col min="12037" max="12038" width="0" hidden="1" customWidth="1"/>
    <col min="12285" max="12285" width="28.85546875" customWidth="1"/>
    <col min="12287" max="12288" width="0" hidden="1" customWidth="1"/>
    <col min="12290" max="12291" width="0" hidden="1" customWidth="1"/>
    <col min="12293" max="12294" width="0" hidden="1" customWidth="1"/>
    <col min="12541" max="12541" width="28.85546875" customWidth="1"/>
    <col min="12543" max="12544" width="0" hidden="1" customWidth="1"/>
    <col min="12546" max="12547" width="0" hidden="1" customWidth="1"/>
    <col min="12549" max="12550" width="0" hidden="1" customWidth="1"/>
    <col min="12797" max="12797" width="28.85546875" customWidth="1"/>
    <col min="12799" max="12800" width="0" hidden="1" customWidth="1"/>
    <col min="12802" max="12803" width="0" hidden="1" customWidth="1"/>
    <col min="12805" max="12806" width="0" hidden="1" customWidth="1"/>
    <col min="13053" max="13053" width="28.85546875" customWidth="1"/>
    <col min="13055" max="13056" width="0" hidden="1" customWidth="1"/>
    <col min="13058" max="13059" width="0" hidden="1" customWidth="1"/>
    <col min="13061" max="13062" width="0" hidden="1" customWidth="1"/>
    <col min="13309" max="13309" width="28.85546875" customWidth="1"/>
    <col min="13311" max="13312" width="0" hidden="1" customWidth="1"/>
    <col min="13314" max="13315" width="0" hidden="1" customWidth="1"/>
    <col min="13317" max="13318" width="0" hidden="1" customWidth="1"/>
    <col min="13565" max="13565" width="28.85546875" customWidth="1"/>
    <col min="13567" max="13568" width="0" hidden="1" customWidth="1"/>
    <col min="13570" max="13571" width="0" hidden="1" customWidth="1"/>
    <col min="13573" max="13574" width="0" hidden="1" customWidth="1"/>
    <col min="13821" max="13821" width="28.85546875" customWidth="1"/>
    <col min="13823" max="13824" width="0" hidden="1" customWidth="1"/>
    <col min="13826" max="13827" width="0" hidden="1" customWidth="1"/>
    <col min="13829" max="13830" width="0" hidden="1" customWidth="1"/>
    <col min="14077" max="14077" width="28.85546875" customWidth="1"/>
    <col min="14079" max="14080" width="0" hidden="1" customWidth="1"/>
    <col min="14082" max="14083" width="0" hidden="1" customWidth="1"/>
    <col min="14085" max="14086" width="0" hidden="1" customWidth="1"/>
    <col min="14333" max="14333" width="28.85546875" customWidth="1"/>
    <col min="14335" max="14336" width="0" hidden="1" customWidth="1"/>
    <col min="14338" max="14339" width="0" hidden="1" customWidth="1"/>
    <col min="14341" max="14342" width="0" hidden="1" customWidth="1"/>
    <col min="14589" max="14589" width="28.85546875" customWidth="1"/>
    <col min="14591" max="14592" width="0" hidden="1" customWidth="1"/>
    <col min="14594" max="14595" width="0" hidden="1" customWidth="1"/>
    <col min="14597" max="14598" width="0" hidden="1" customWidth="1"/>
    <col min="14845" max="14845" width="28.85546875" customWidth="1"/>
    <col min="14847" max="14848" width="0" hidden="1" customWidth="1"/>
    <col min="14850" max="14851" width="0" hidden="1" customWidth="1"/>
    <col min="14853" max="14854" width="0" hidden="1" customWidth="1"/>
    <col min="15101" max="15101" width="28.85546875" customWidth="1"/>
    <col min="15103" max="15104" width="0" hidden="1" customWidth="1"/>
    <col min="15106" max="15107" width="0" hidden="1" customWidth="1"/>
    <col min="15109" max="15110" width="0" hidden="1" customWidth="1"/>
    <col min="15357" max="15357" width="28.85546875" customWidth="1"/>
    <col min="15359" max="15360" width="0" hidden="1" customWidth="1"/>
    <col min="15362" max="15363" width="0" hidden="1" customWidth="1"/>
    <col min="15365" max="15366" width="0" hidden="1" customWidth="1"/>
    <col min="15613" max="15613" width="28.85546875" customWidth="1"/>
    <col min="15615" max="15616" width="0" hidden="1" customWidth="1"/>
    <col min="15618" max="15619" width="0" hidden="1" customWidth="1"/>
    <col min="15621" max="15622" width="0" hidden="1" customWidth="1"/>
    <col min="15869" max="15869" width="28.85546875" customWidth="1"/>
    <col min="15871" max="15872" width="0" hidden="1" customWidth="1"/>
    <col min="15874" max="15875" width="0" hidden="1" customWidth="1"/>
    <col min="15877" max="15878" width="0" hidden="1" customWidth="1"/>
    <col min="16125" max="16125" width="28.85546875" customWidth="1"/>
    <col min="16127" max="16128" width="0" hidden="1" customWidth="1"/>
    <col min="16130" max="16131" width="0" hidden="1" customWidth="1"/>
    <col min="16133" max="16134" width="0" hidden="1" customWidth="1"/>
    <col min="16373" max="16378" width="11.42578125" customWidth="1"/>
  </cols>
  <sheetData>
    <row r="1" spans="1:33">
      <c r="A1" s="13"/>
      <c r="B1" s="13"/>
      <c r="Y1" s="788"/>
      <c r="Z1" s="788"/>
      <c r="AA1" s="788"/>
      <c r="AB1" s="788"/>
      <c r="AC1" s="788"/>
      <c r="AD1" s="788"/>
      <c r="AE1" s="788"/>
    </row>
    <row r="2" spans="1:33" ht="24" customHeight="1">
      <c r="A2" s="770"/>
      <c r="B2" s="770"/>
      <c r="C2" s="770"/>
      <c r="D2" s="770"/>
      <c r="E2" s="794" t="s">
        <v>1317</v>
      </c>
      <c r="F2" s="794"/>
      <c r="G2" s="794"/>
      <c r="H2" s="794"/>
      <c r="I2" s="794"/>
      <c r="J2" s="794"/>
      <c r="K2" s="794"/>
      <c r="L2" s="794"/>
      <c r="M2" s="794"/>
      <c r="N2" s="794"/>
      <c r="O2" s="794"/>
      <c r="P2" s="794"/>
      <c r="Q2" s="794"/>
      <c r="R2" s="794"/>
      <c r="S2" s="794"/>
      <c r="T2" s="794"/>
      <c r="U2" s="794"/>
      <c r="V2" s="794"/>
      <c r="W2" s="794"/>
      <c r="X2" s="794"/>
      <c r="Y2" s="795"/>
      <c r="Z2" s="795"/>
      <c r="AA2" s="795"/>
      <c r="AB2" s="795"/>
      <c r="AC2" s="795"/>
      <c r="AD2" s="795"/>
      <c r="AE2" s="795"/>
      <c r="AF2" s="795"/>
      <c r="AG2" s="788"/>
    </row>
    <row r="3" spans="1:33" ht="24" customHeight="1">
      <c r="A3" s="770"/>
      <c r="B3" s="770"/>
      <c r="C3" s="770"/>
      <c r="D3" s="770"/>
      <c r="E3" s="714" t="s">
        <v>1326</v>
      </c>
      <c r="F3" s="714"/>
      <c r="G3" s="714"/>
      <c r="H3" s="714"/>
      <c r="I3" s="714"/>
      <c r="J3" s="714"/>
      <c r="K3" s="714"/>
      <c r="L3" s="714"/>
      <c r="M3" s="714"/>
      <c r="N3" s="714"/>
      <c r="O3" s="714"/>
      <c r="P3" s="714"/>
      <c r="Q3" s="714"/>
      <c r="R3" s="714"/>
      <c r="S3" s="714"/>
      <c r="T3" s="714"/>
      <c r="U3" s="714"/>
      <c r="V3" s="714"/>
      <c r="W3" s="714"/>
      <c r="X3" s="714"/>
      <c r="Y3" s="789"/>
      <c r="Z3" s="789"/>
      <c r="AA3" s="789"/>
      <c r="AB3" s="789"/>
      <c r="AC3" s="789"/>
      <c r="AD3" s="789"/>
      <c r="AE3" s="789"/>
      <c r="AF3" s="789"/>
      <c r="AG3" s="788"/>
    </row>
    <row r="4" spans="1:33" ht="27" customHeight="1">
      <c r="A4" s="770"/>
      <c r="B4" s="770"/>
      <c r="C4" s="770"/>
      <c r="D4" s="770"/>
      <c r="E4" s="714" t="s">
        <v>803</v>
      </c>
      <c r="F4" s="714"/>
      <c r="G4" s="714"/>
      <c r="H4" s="714"/>
      <c r="I4" s="714"/>
      <c r="J4" s="714"/>
      <c r="K4" s="714"/>
      <c r="L4" s="714"/>
      <c r="M4" s="714"/>
      <c r="N4" s="714"/>
      <c r="O4" s="714"/>
      <c r="P4" s="714"/>
      <c r="Q4" s="714"/>
      <c r="R4" s="714"/>
      <c r="S4" s="714"/>
      <c r="T4" s="714"/>
      <c r="U4" s="714"/>
      <c r="V4" s="714"/>
      <c r="W4" s="714"/>
      <c r="X4" s="714"/>
      <c r="Y4" s="789"/>
      <c r="Z4" s="789"/>
      <c r="AA4" s="789"/>
      <c r="AB4" s="789"/>
      <c r="AC4" s="789"/>
      <c r="AD4" s="789"/>
      <c r="AE4" s="789"/>
      <c r="AF4" s="789"/>
      <c r="AG4" s="788"/>
    </row>
    <row r="5" spans="1:33" ht="15" customHeight="1">
      <c r="A5" s="770"/>
      <c r="B5" s="770"/>
      <c r="C5" s="770"/>
      <c r="D5" s="770"/>
      <c r="E5" s="668" t="s">
        <v>1325</v>
      </c>
      <c r="F5" s="668"/>
      <c r="G5" s="668"/>
      <c r="H5" s="668"/>
      <c r="I5" s="668"/>
      <c r="J5" s="668"/>
      <c r="K5" s="668"/>
      <c r="L5" s="668"/>
      <c r="M5" s="668"/>
      <c r="N5" s="668"/>
      <c r="O5" s="668"/>
      <c r="P5" s="668"/>
      <c r="Q5" s="668"/>
      <c r="R5" s="668"/>
      <c r="S5" s="668"/>
      <c r="T5" s="668"/>
      <c r="U5" s="668"/>
      <c r="V5" s="668"/>
      <c r="W5" s="668"/>
      <c r="X5" s="668"/>
      <c r="Y5" s="788"/>
      <c r="Z5" s="788"/>
      <c r="AA5" s="788"/>
      <c r="AB5" s="788"/>
      <c r="AC5" s="788"/>
      <c r="AD5" s="788"/>
      <c r="AE5" s="788"/>
      <c r="AF5" s="788"/>
      <c r="AG5" s="788"/>
    </row>
    <row r="6" spans="1:33" ht="22.15" customHeight="1">
      <c r="A6" s="770"/>
      <c r="B6" s="770"/>
      <c r="C6" s="770"/>
      <c r="D6" s="770"/>
      <c r="E6" s="668"/>
      <c r="F6" s="668"/>
      <c r="G6" s="668"/>
      <c r="H6" s="668"/>
      <c r="I6" s="668"/>
      <c r="J6" s="668"/>
      <c r="K6" s="668"/>
      <c r="L6" s="668"/>
      <c r="M6" s="668"/>
      <c r="N6" s="668"/>
      <c r="O6" s="668"/>
      <c r="P6" s="668"/>
      <c r="Q6" s="668"/>
      <c r="R6" s="668"/>
      <c r="S6" s="668"/>
      <c r="T6" s="668"/>
      <c r="U6" s="668"/>
      <c r="V6" s="668"/>
      <c r="W6" s="668"/>
      <c r="X6" s="668"/>
      <c r="Y6" s="788"/>
      <c r="Z6" s="788"/>
      <c r="AA6" s="788"/>
      <c r="AB6" s="788"/>
      <c r="AC6" s="788"/>
      <c r="AD6" s="788"/>
      <c r="AE6" s="788"/>
    </row>
    <row r="7" spans="1:33" ht="22.15" customHeight="1" thickBot="1">
      <c r="A7" s="487"/>
      <c r="B7" s="487"/>
      <c r="C7" s="487"/>
      <c r="D7" s="487"/>
      <c r="E7" s="573"/>
      <c r="F7" s="573"/>
      <c r="G7" s="573"/>
      <c r="H7" s="573"/>
      <c r="I7" s="573"/>
      <c r="J7" s="573"/>
      <c r="K7" s="786" t="s">
        <v>1318</v>
      </c>
      <c r="L7" s="786"/>
      <c r="M7" s="786"/>
      <c r="N7" s="786"/>
      <c r="O7" s="786"/>
      <c r="P7" s="786"/>
      <c r="Q7" s="786"/>
      <c r="R7" s="573"/>
      <c r="S7" s="573"/>
      <c r="T7" s="573"/>
      <c r="U7" s="573"/>
      <c r="V7" s="573"/>
      <c r="W7" s="573"/>
      <c r="X7" s="573"/>
    </row>
    <row r="8" spans="1:33">
      <c r="A8" s="771" t="s">
        <v>114</v>
      </c>
      <c r="B8" s="772"/>
      <c r="C8" s="777">
        <f>G20</f>
        <v>772842</v>
      </c>
      <c r="D8" s="777"/>
      <c r="E8" s="778"/>
      <c r="F8" s="15"/>
    </row>
    <row r="9" spans="1:33">
      <c r="A9" s="773" t="s">
        <v>1296</v>
      </c>
      <c r="B9" s="774"/>
      <c r="C9" s="779">
        <f>G20</f>
        <v>772842</v>
      </c>
      <c r="D9" s="779"/>
      <c r="E9" s="780"/>
      <c r="F9" s="15"/>
    </row>
    <row r="10" spans="1:33">
      <c r="A10" s="773" t="s">
        <v>5</v>
      </c>
      <c r="B10" s="774"/>
      <c r="C10" s="779">
        <f>I20</f>
        <v>738735.91999999993</v>
      </c>
      <c r="D10" s="779"/>
      <c r="E10" s="780"/>
      <c r="F10" s="15"/>
    </row>
    <row r="11" spans="1:33" ht="15.75" thickBot="1">
      <c r="A11" s="775" t="s">
        <v>13</v>
      </c>
      <c r="B11" s="776"/>
      <c r="C11" s="781">
        <f>C9-C10</f>
        <v>34106.080000000075</v>
      </c>
      <c r="D11" s="781"/>
      <c r="E11" s="782"/>
      <c r="F11" s="15"/>
    </row>
    <row r="12" spans="1:33">
      <c r="A12" s="120"/>
      <c r="B12" s="121"/>
      <c r="C12" s="121"/>
      <c r="D12" s="121"/>
      <c r="E12" s="121"/>
      <c r="K12" s="60"/>
      <c r="M12" s="122"/>
      <c r="O12" s="122"/>
      <c r="X12" s="16"/>
    </row>
    <row r="13" spans="1:33" ht="15.75" thickBot="1">
      <c r="A13" s="120"/>
      <c r="B13" s="121"/>
      <c r="C13" s="121"/>
      <c r="D13" s="121"/>
      <c r="E13" s="121"/>
      <c r="M13" s="122"/>
      <c r="O13" s="122"/>
      <c r="X13" s="123" t="s">
        <v>1039</v>
      </c>
    </row>
    <row r="14" spans="1:33" s="20" customFormat="1" ht="16.5" thickTop="1" thickBot="1">
      <c r="A14" s="17"/>
      <c r="B14" s="17"/>
      <c r="C14" s="17"/>
      <c r="D14" s="17"/>
      <c r="E14" s="17"/>
      <c r="F14" s="17"/>
      <c r="G14" s="719" t="s">
        <v>14</v>
      </c>
      <c r="H14" s="721"/>
      <c r="I14" s="719" t="s">
        <v>15</v>
      </c>
      <c r="J14" s="721"/>
      <c r="K14" s="722" t="s">
        <v>16</v>
      </c>
      <c r="L14" s="769"/>
      <c r="M14" s="769"/>
      <c r="N14" s="769"/>
      <c r="O14" s="724"/>
      <c r="P14" s="124"/>
      <c r="S14" s="125"/>
      <c r="T14" s="125"/>
      <c r="U14" s="125"/>
      <c r="V14" s="22"/>
    </row>
    <row r="15" spans="1:33" s="29" customFormat="1" ht="26.25" thickBot="1">
      <c r="A15" s="137" t="s">
        <v>183</v>
      </c>
      <c r="B15" s="138" t="s">
        <v>18</v>
      </c>
      <c r="C15" s="138" t="s">
        <v>19</v>
      </c>
      <c r="D15" s="126" t="s">
        <v>20</v>
      </c>
      <c r="E15" s="126" t="s">
        <v>94</v>
      </c>
      <c r="F15" s="126" t="s">
        <v>22</v>
      </c>
      <c r="G15" s="126" t="s">
        <v>23</v>
      </c>
      <c r="H15" s="126" t="s">
        <v>95</v>
      </c>
      <c r="I15" s="127" t="s">
        <v>23</v>
      </c>
      <c r="J15" s="126" t="s">
        <v>95</v>
      </c>
      <c r="K15" s="126" t="s">
        <v>23</v>
      </c>
      <c r="L15" s="126" t="s">
        <v>24</v>
      </c>
      <c r="M15" s="126" t="s">
        <v>791</v>
      </c>
      <c r="N15" s="126" t="s">
        <v>792</v>
      </c>
      <c r="O15" s="126" t="s">
        <v>95</v>
      </c>
      <c r="P15" s="126" t="s">
        <v>25</v>
      </c>
      <c r="Q15" s="126" t="s">
        <v>26</v>
      </c>
      <c r="R15" s="126" t="s">
        <v>27</v>
      </c>
      <c r="S15" s="761" t="s">
        <v>28</v>
      </c>
      <c r="T15" s="762"/>
      <c r="U15" s="126" t="s">
        <v>29</v>
      </c>
      <c r="V15" s="126" t="s">
        <v>30</v>
      </c>
      <c r="W15" s="126" t="s">
        <v>31</v>
      </c>
      <c r="X15" s="128" t="s">
        <v>317</v>
      </c>
    </row>
    <row r="16" spans="1:33" s="269" customFormat="1" ht="57">
      <c r="A16" s="545" t="s">
        <v>321</v>
      </c>
      <c r="B16" s="207">
        <v>43306</v>
      </c>
      <c r="C16" s="208" t="s">
        <v>1297</v>
      </c>
      <c r="D16" s="208" t="s">
        <v>198</v>
      </c>
      <c r="E16" s="208" t="s">
        <v>1298</v>
      </c>
      <c r="F16" s="209" t="s">
        <v>1299</v>
      </c>
      <c r="G16" s="210">
        <f>H16</f>
        <v>81072</v>
      </c>
      <c r="H16" s="211">
        <v>81072</v>
      </c>
      <c r="I16" s="461">
        <f>J16</f>
        <v>74111.92</v>
      </c>
      <c r="J16" s="211">
        <v>74111.92</v>
      </c>
      <c r="K16" s="210">
        <f>H16-I16</f>
        <v>6960.0800000000017</v>
      </c>
      <c r="L16" s="546" t="e">
        <f>#REF!-#REF!</f>
        <v>#REF!</v>
      </c>
      <c r="M16" s="547"/>
      <c r="N16" s="547"/>
      <c r="O16" s="547">
        <f>G16-J16</f>
        <v>6960.0800000000017</v>
      </c>
      <c r="P16" s="212" t="s">
        <v>1300</v>
      </c>
      <c r="Q16" s="578">
        <f>I16/G16</f>
        <v>0.91414939806591666</v>
      </c>
      <c r="R16" s="589">
        <f t="shared" ref="R16:R18" si="0">Q16</f>
        <v>0.91414939806591666</v>
      </c>
      <c r="S16" s="568" t="s">
        <v>1301</v>
      </c>
      <c r="T16" s="206">
        <v>30468</v>
      </c>
      <c r="U16" s="206">
        <v>70</v>
      </c>
      <c r="V16" s="206" t="s">
        <v>186</v>
      </c>
      <c r="W16" s="206" t="s">
        <v>186</v>
      </c>
      <c r="X16" s="206" t="s">
        <v>186</v>
      </c>
    </row>
    <row r="17" spans="1:25" s="269" customFormat="1" ht="71.25">
      <c r="A17" s="545" t="s">
        <v>321</v>
      </c>
      <c r="B17" s="207">
        <v>43306</v>
      </c>
      <c r="C17" s="208" t="s">
        <v>1297</v>
      </c>
      <c r="D17" s="208"/>
      <c r="E17" s="208" t="s">
        <v>1302</v>
      </c>
      <c r="F17" s="209" t="s">
        <v>1303</v>
      </c>
      <c r="G17" s="210">
        <f t="shared" ref="G17:G18" si="1">H17</f>
        <v>165870</v>
      </c>
      <c r="H17" s="211">
        <v>165870</v>
      </c>
      <c r="I17" s="461">
        <f t="shared" ref="I17:I18" si="2">J17</f>
        <v>165868.87</v>
      </c>
      <c r="J17" s="211">
        <v>165868.87</v>
      </c>
      <c r="K17" s="210">
        <f t="shared" ref="K17:K18" si="3">H17-I17</f>
        <v>1.1300000000046566</v>
      </c>
      <c r="L17" s="546"/>
      <c r="M17" s="547"/>
      <c r="N17" s="547"/>
      <c r="O17" s="547"/>
      <c r="P17" s="212" t="s">
        <v>1294</v>
      </c>
      <c r="Q17" s="578">
        <f>I17/G17</f>
        <v>0.99999318743594379</v>
      </c>
      <c r="R17" s="589">
        <f t="shared" si="0"/>
        <v>0.99999318743594379</v>
      </c>
      <c r="S17" s="568" t="s">
        <v>1304</v>
      </c>
      <c r="T17" s="206">
        <v>50</v>
      </c>
      <c r="U17" s="206">
        <v>29</v>
      </c>
      <c r="V17" s="206" t="s">
        <v>186</v>
      </c>
      <c r="W17" s="206" t="s">
        <v>186</v>
      </c>
      <c r="X17" s="206" t="s">
        <v>186</v>
      </c>
    </row>
    <row r="18" spans="1:25" s="269" customFormat="1" ht="71.25">
      <c r="A18" s="545" t="s">
        <v>321</v>
      </c>
      <c r="B18" s="207">
        <v>43306</v>
      </c>
      <c r="C18" s="208" t="s">
        <v>1305</v>
      </c>
      <c r="D18" s="208"/>
      <c r="E18" s="208" t="s">
        <v>1306</v>
      </c>
      <c r="F18" s="209" t="s">
        <v>1307</v>
      </c>
      <c r="G18" s="210">
        <f t="shared" si="1"/>
        <v>525900</v>
      </c>
      <c r="H18" s="211">
        <v>525900</v>
      </c>
      <c r="I18" s="461">
        <f t="shared" si="2"/>
        <v>498755.13</v>
      </c>
      <c r="J18" s="211">
        <v>498755.13</v>
      </c>
      <c r="K18" s="210">
        <f t="shared" si="3"/>
        <v>27144.869999999995</v>
      </c>
      <c r="L18" s="546"/>
      <c r="M18" s="547"/>
      <c r="N18" s="547"/>
      <c r="O18" s="547"/>
      <c r="P18" s="212" t="s">
        <v>1294</v>
      </c>
      <c r="Q18" s="578">
        <f>I18/G18</f>
        <v>0.94838397033656585</v>
      </c>
      <c r="R18" s="589">
        <f t="shared" si="0"/>
        <v>0.94838397033656585</v>
      </c>
      <c r="S18" s="568" t="s">
        <v>1304</v>
      </c>
      <c r="T18" s="206">
        <v>500</v>
      </c>
      <c r="U18" s="206">
        <v>88</v>
      </c>
      <c r="V18" s="206" t="s">
        <v>186</v>
      </c>
      <c r="W18" s="206" t="s">
        <v>186</v>
      </c>
      <c r="X18" s="206" t="s">
        <v>186</v>
      </c>
    </row>
    <row r="19" spans="1:25" s="269" customFormat="1" ht="15.75" thickBot="1">
      <c r="A19" s="262"/>
      <c r="B19" s="316"/>
      <c r="C19" s="317"/>
      <c r="D19" s="317"/>
      <c r="E19" s="317"/>
      <c r="F19" s="569"/>
      <c r="G19" s="263"/>
      <c r="H19" s="318"/>
      <c r="I19" s="570"/>
      <c r="J19" s="318"/>
      <c r="K19" s="263"/>
      <c r="L19" s="571"/>
      <c r="M19" s="572"/>
      <c r="N19" s="572"/>
      <c r="O19" s="572"/>
      <c r="P19" s="264"/>
      <c r="Q19" s="319"/>
      <c r="R19" s="265"/>
      <c r="S19" s="282"/>
      <c r="T19" s="264"/>
      <c r="U19" s="266"/>
      <c r="V19" s="266"/>
      <c r="W19" s="266"/>
      <c r="X19" s="266"/>
    </row>
    <row r="20" spans="1:25" s="269" customFormat="1" ht="16.5" thickTop="1" thickBot="1">
      <c r="A20" s="268"/>
      <c r="B20" s="268"/>
      <c r="C20" s="268"/>
      <c r="D20" s="268"/>
      <c r="E20" s="268"/>
      <c r="F20" s="259" t="s">
        <v>89</v>
      </c>
      <c r="G20" s="260">
        <f>G16+G17+G18</f>
        <v>772842</v>
      </c>
      <c r="H20" s="260">
        <f t="shared" ref="H20:K20" si="4">SUM(H16:H18)</f>
        <v>772842</v>
      </c>
      <c r="I20" s="260">
        <f t="shared" si="4"/>
        <v>738735.91999999993</v>
      </c>
      <c r="J20" s="260">
        <f t="shared" si="4"/>
        <v>738735.91999999993</v>
      </c>
      <c r="K20" s="260">
        <f t="shared" si="4"/>
        <v>34106.080000000002</v>
      </c>
      <c r="L20" s="260" t="e">
        <f>SUM(L16:N16)</f>
        <v>#REF!</v>
      </c>
      <c r="M20" s="260"/>
      <c r="N20" s="260"/>
      <c r="O20" s="260">
        <f>SUM(O16:O16)</f>
        <v>6960.0800000000017</v>
      </c>
      <c r="P20" s="320"/>
      <c r="Q20" s="321"/>
      <c r="S20" s="322"/>
      <c r="T20" s="270"/>
      <c r="U20" s="270"/>
      <c r="V20" s="271"/>
    </row>
    <row r="21" spans="1:25" s="29" customFormat="1" ht="13.5" thickTop="1">
      <c r="A21" s="52"/>
      <c r="G21" s="54"/>
      <c r="H21" s="131"/>
      <c r="I21" s="131"/>
      <c r="J21" s="131"/>
      <c r="K21" s="131"/>
      <c r="P21" s="131"/>
      <c r="S21" s="130"/>
      <c r="T21" s="51"/>
      <c r="U21" s="51"/>
      <c r="V21" s="46"/>
    </row>
    <row r="22" spans="1:25" s="46" customFormat="1" ht="12.75">
      <c r="A22" s="56" t="s">
        <v>91</v>
      </c>
      <c r="B22" s="29"/>
      <c r="C22" s="29"/>
      <c r="D22" s="29"/>
      <c r="E22" s="29"/>
      <c r="F22" s="29"/>
      <c r="G22" s="131"/>
      <c r="H22" s="131"/>
      <c r="I22" s="131"/>
      <c r="J22" s="131"/>
      <c r="K22" s="131"/>
      <c r="L22" s="55"/>
      <c r="M22" s="55"/>
      <c r="N22" s="55"/>
      <c r="O22" s="55"/>
      <c r="P22" s="131"/>
      <c r="Q22" s="29"/>
      <c r="R22" s="29"/>
      <c r="S22" s="130"/>
      <c r="T22" s="51"/>
      <c r="U22" s="51"/>
      <c r="W22" s="29"/>
      <c r="X22" s="29"/>
      <c r="Y22" s="29"/>
    </row>
    <row r="23" spans="1:25">
      <c r="I23" s="162"/>
    </row>
    <row r="24" spans="1:25">
      <c r="F24" s="1"/>
      <c r="G24" s="1"/>
    </row>
    <row r="25" spans="1:25">
      <c r="F25" s="1"/>
      <c r="G25" s="175"/>
    </row>
    <row r="26" spans="1:25">
      <c r="F26" s="1"/>
      <c r="G26" s="1"/>
    </row>
    <row r="27" spans="1:25">
      <c r="E27" s="3"/>
      <c r="F27" s="1"/>
      <c r="G27" s="1"/>
    </row>
    <row r="28" spans="1:25">
      <c r="F28" s="1"/>
      <c r="G28" s="1"/>
    </row>
    <row r="29" spans="1:25">
      <c r="F29" s="1"/>
      <c r="G29" s="1"/>
    </row>
    <row r="30" spans="1:25">
      <c r="F30" s="1"/>
      <c r="G30" s="1"/>
    </row>
  </sheetData>
  <mergeCells count="18">
    <mergeCell ref="E3:X3"/>
    <mergeCell ref="K7:Q7"/>
    <mergeCell ref="G14:H14"/>
    <mergeCell ref="I14:J14"/>
    <mergeCell ref="K14:O14"/>
    <mergeCell ref="S15:T15"/>
    <mergeCell ref="A2:D6"/>
    <mergeCell ref="E2:X2"/>
    <mergeCell ref="E4:X4"/>
    <mergeCell ref="E5:X6"/>
    <mergeCell ref="A8:B8"/>
    <mergeCell ref="A9:B9"/>
    <mergeCell ref="A10:B10"/>
    <mergeCell ref="A11:B11"/>
    <mergeCell ref="C8:E8"/>
    <mergeCell ref="C9:E9"/>
    <mergeCell ref="C10:E10"/>
    <mergeCell ref="C11:E11"/>
  </mergeCells>
  <pageMargins left="0.70866141732283472" right="0.70866141732283472" top="0.74803149606299213" bottom="0.74803149606299213" header="0.31496062992125984" footer="0.31496062992125984"/>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D160"/>
  <sheetViews>
    <sheetView workbookViewId="0">
      <selection activeCell="C3" sqref="C3:U3"/>
    </sheetView>
  </sheetViews>
  <sheetFormatPr baseColWidth="10" defaultRowHeight="15"/>
  <cols>
    <col min="2" max="2" width="13.28515625" customWidth="1"/>
    <col min="3" max="3" width="24.85546875" customWidth="1"/>
    <col min="4" max="4" width="10.7109375" hidden="1" customWidth="1"/>
    <col min="5" max="5" width="8.140625" customWidth="1"/>
    <col min="6" max="6" width="40.85546875" customWidth="1"/>
    <col min="7" max="7" width="14.7109375" customWidth="1"/>
    <col min="8" max="8" width="12.140625" hidden="1" customWidth="1"/>
    <col min="9" max="9" width="13.7109375" customWidth="1"/>
    <col min="10" max="10" width="14.42578125" hidden="1" customWidth="1"/>
    <col min="11" max="11" width="13.85546875" customWidth="1"/>
    <col min="12" max="12" width="17" hidden="1" customWidth="1"/>
    <col min="13" max="13" width="13.85546875" customWidth="1"/>
    <col min="14" max="14" width="10.85546875" customWidth="1"/>
    <col min="15" max="15" width="11.28515625" customWidth="1"/>
    <col min="16" max="16" width="8.28515625" customWidth="1"/>
    <col min="17" max="17" width="9.42578125" customWidth="1"/>
    <col min="18" max="18" width="12.7109375" customWidth="1"/>
    <col min="19" max="19" width="12.140625" customWidth="1"/>
    <col min="20" max="20" width="15.140625" customWidth="1"/>
    <col min="21" max="22" width="11.42578125" customWidth="1"/>
    <col min="255" max="255" width="11.5703125" customWidth="1"/>
    <col min="257" max="257" width="12.42578125" customWidth="1"/>
    <col min="258" max="258" width="12" customWidth="1"/>
    <col min="259" max="259" width="28.85546875" customWidth="1"/>
    <col min="261" max="262" width="0" hidden="1" customWidth="1"/>
    <col min="263" max="263" width="14.5703125" customWidth="1"/>
    <col min="264" max="265" width="0" hidden="1" customWidth="1"/>
    <col min="267" max="268" width="0" hidden="1" customWidth="1"/>
    <col min="278" max="278" width="0" hidden="1" customWidth="1"/>
    <col min="511" max="511" width="11.5703125" customWidth="1"/>
    <col min="513" max="513" width="12.42578125" customWidth="1"/>
    <col min="514" max="514" width="12" customWidth="1"/>
    <col min="515" max="515" width="28.85546875" customWidth="1"/>
    <col min="517" max="518" width="0" hidden="1" customWidth="1"/>
    <col min="519" max="519" width="14.5703125" customWidth="1"/>
    <col min="520" max="521" width="0" hidden="1" customWidth="1"/>
    <col min="523" max="524" width="0" hidden="1" customWidth="1"/>
    <col min="534" max="534" width="0" hidden="1" customWidth="1"/>
    <col min="767" max="767" width="11.5703125" customWidth="1"/>
    <col min="769" max="769" width="12.42578125" customWidth="1"/>
    <col min="770" max="770" width="12" customWidth="1"/>
    <col min="771" max="771" width="28.85546875" customWidth="1"/>
    <col min="773" max="774" width="0" hidden="1" customWidth="1"/>
    <col min="775" max="775" width="14.5703125" customWidth="1"/>
    <col min="776" max="777" width="0" hidden="1" customWidth="1"/>
    <col min="779" max="780" width="0" hidden="1" customWidth="1"/>
    <col min="790" max="790" width="0" hidden="1" customWidth="1"/>
    <col min="1023" max="1023" width="11.5703125" customWidth="1"/>
    <col min="1025" max="1025" width="12.42578125" customWidth="1"/>
    <col min="1026" max="1026" width="12" customWidth="1"/>
    <col min="1027" max="1027" width="28.85546875" customWidth="1"/>
    <col min="1029" max="1030" width="0" hidden="1" customWidth="1"/>
    <col min="1031" max="1031" width="14.5703125" customWidth="1"/>
    <col min="1032" max="1033" width="0" hidden="1" customWidth="1"/>
    <col min="1035" max="1036" width="0" hidden="1" customWidth="1"/>
    <col min="1046" max="1046" width="0" hidden="1" customWidth="1"/>
    <col min="1279" max="1279" width="11.5703125" customWidth="1"/>
    <col min="1281" max="1281" width="12.42578125" customWidth="1"/>
    <col min="1282" max="1282" width="12" customWidth="1"/>
    <col min="1283" max="1283" width="28.85546875" customWidth="1"/>
    <col min="1285" max="1286" width="0" hidden="1" customWidth="1"/>
    <col min="1287" max="1287" width="14.5703125" customWidth="1"/>
    <col min="1288" max="1289" width="0" hidden="1" customWidth="1"/>
    <col min="1291" max="1292" width="0" hidden="1" customWidth="1"/>
    <col min="1302" max="1302" width="0" hidden="1" customWidth="1"/>
    <col min="1535" max="1535" width="11.5703125" customWidth="1"/>
    <col min="1537" max="1537" width="12.42578125" customWidth="1"/>
    <col min="1538" max="1538" width="12" customWidth="1"/>
    <col min="1539" max="1539" width="28.85546875" customWidth="1"/>
    <col min="1541" max="1542" width="0" hidden="1" customWidth="1"/>
    <col min="1543" max="1543" width="14.5703125" customWidth="1"/>
    <col min="1544" max="1545" width="0" hidden="1" customWidth="1"/>
    <col min="1547" max="1548" width="0" hidden="1" customWidth="1"/>
    <col min="1558" max="1558" width="0" hidden="1" customWidth="1"/>
    <col min="1791" max="1791" width="11.5703125" customWidth="1"/>
    <col min="1793" max="1793" width="12.42578125" customWidth="1"/>
    <col min="1794" max="1794" width="12" customWidth="1"/>
    <col min="1795" max="1795" width="28.85546875" customWidth="1"/>
    <col min="1797" max="1798" width="0" hidden="1" customWidth="1"/>
    <col min="1799" max="1799" width="14.5703125" customWidth="1"/>
    <col min="1800" max="1801" width="0" hidden="1" customWidth="1"/>
    <col min="1803" max="1804" width="0" hidden="1" customWidth="1"/>
    <col min="1814" max="1814" width="0" hidden="1" customWidth="1"/>
    <col min="2047" max="2047" width="11.5703125" customWidth="1"/>
    <col min="2049" max="2049" width="12.42578125" customWidth="1"/>
    <col min="2050" max="2050" width="12" customWidth="1"/>
    <col min="2051" max="2051" width="28.85546875" customWidth="1"/>
    <col min="2053" max="2054" width="0" hidden="1" customWidth="1"/>
    <col min="2055" max="2055" width="14.5703125" customWidth="1"/>
    <col min="2056" max="2057" width="0" hidden="1" customWidth="1"/>
    <col min="2059" max="2060" width="0" hidden="1" customWidth="1"/>
    <col min="2070" max="2070" width="0" hidden="1" customWidth="1"/>
    <col min="2303" max="2303" width="11.5703125" customWidth="1"/>
    <col min="2305" max="2305" width="12.42578125" customWidth="1"/>
    <col min="2306" max="2306" width="12" customWidth="1"/>
    <col min="2307" max="2307" width="28.85546875" customWidth="1"/>
    <col min="2309" max="2310" width="0" hidden="1" customWidth="1"/>
    <col min="2311" max="2311" width="14.5703125" customWidth="1"/>
    <col min="2312" max="2313" width="0" hidden="1" customWidth="1"/>
    <col min="2315" max="2316" width="0" hidden="1" customWidth="1"/>
    <col min="2326" max="2326" width="0" hidden="1" customWidth="1"/>
    <col min="2559" max="2559" width="11.5703125" customWidth="1"/>
    <col min="2561" max="2561" width="12.42578125" customWidth="1"/>
    <col min="2562" max="2562" width="12" customWidth="1"/>
    <col min="2563" max="2563" width="28.85546875" customWidth="1"/>
    <col min="2565" max="2566" width="0" hidden="1" customWidth="1"/>
    <col min="2567" max="2567" width="14.5703125" customWidth="1"/>
    <col min="2568" max="2569" width="0" hidden="1" customWidth="1"/>
    <col min="2571" max="2572" width="0" hidden="1" customWidth="1"/>
    <col min="2582" max="2582" width="0" hidden="1" customWidth="1"/>
    <col min="2815" max="2815" width="11.5703125" customWidth="1"/>
    <col min="2817" max="2817" width="12.42578125" customWidth="1"/>
    <col min="2818" max="2818" width="12" customWidth="1"/>
    <col min="2819" max="2819" width="28.85546875" customWidth="1"/>
    <col min="2821" max="2822" width="0" hidden="1" customWidth="1"/>
    <col min="2823" max="2823" width="14.5703125" customWidth="1"/>
    <col min="2824" max="2825" width="0" hidden="1" customWidth="1"/>
    <col min="2827" max="2828" width="0" hidden="1" customWidth="1"/>
    <col min="2838" max="2838" width="0" hidden="1" customWidth="1"/>
    <col min="3071" max="3071" width="11.5703125" customWidth="1"/>
    <col min="3073" max="3073" width="12.42578125" customWidth="1"/>
    <col min="3074" max="3074" width="12" customWidth="1"/>
    <col min="3075" max="3075" width="28.85546875" customWidth="1"/>
    <col min="3077" max="3078" width="0" hidden="1" customWidth="1"/>
    <col min="3079" max="3079" width="14.5703125" customWidth="1"/>
    <col min="3080" max="3081" width="0" hidden="1" customWidth="1"/>
    <col min="3083" max="3084" width="0" hidden="1" customWidth="1"/>
    <col min="3094" max="3094" width="0" hidden="1" customWidth="1"/>
    <col min="3327" max="3327" width="11.5703125" customWidth="1"/>
    <col min="3329" max="3329" width="12.42578125" customWidth="1"/>
    <col min="3330" max="3330" width="12" customWidth="1"/>
    <col min="3331" max="3331" width="28.85546875" customWidth="1"/>
    <col min="3333" max="3334" width="0" hidden="1" customWidth="1"/>
    <col min="3335" max="3335" width="14.5703125" customWidth="1"/>
    <col min="3336" max="3337" width="0" hidden="1" customWidth="1"/>
    <col min="3339" max="3340" width="0" hidden="1" customWidth="1"/>
    <col min="3350" max="3350" width="0" hidden="1" customWidth="1"/>
    <col min="3583" max="3583" width="11.5703125" customWidth="1"/>
    <col min="3585" max="3585" width="12.42578125" customWidth="1"/>
    <col min="3586" max="3586" width="12" customWidth="1"/>
    <col min="3587" max="3587" width="28.85546875" customWidth="1"/>
    <col min="3589" max="3590" width="0" hidden="1" customWidth="1"/>
    <col min="3591" max="3591" width="14.5703125" customWidth="1"/>
    <col min="3592" max="3593" width="0" hidden="1" customWidth="1"/>
    <col min="3595" max="3596" width="0" hidden="1" customWidth="1"/>
    <col min="3606" max="3606" width="0" hidden="1" customWidth="1"/>
    <col min="3839" max="3839" width="11.5703125" customWidth="1"/>
    <col min="3841" max="3841" width="12.42578125" customWidth="1"/>
    <col min="3842" max="3842" width="12" customWidth="1"/>
    <col min="3843" max="3843" width="28.85546875" customWidth="1"/>
    <col min="3845" max="3846" width="0" hidden="1" customWidth="1"/>
    <col min="3847" max="3847" width="14.5703125" customWidth="1"/>
    <col min="3848" max="3849" width="0" hidden="1" customWidth="1"/>
    <col min="3851" max="3852" width="0" hidden="1" customWidth="1"/>
    <col min="3862" max="3862" width="0" hidden="1" customWidth="1"/>
    <col min="4095" max="4095" width="11.5703125" customWidth="1"/>
    <col min="4097" max="4097" width="12.42578125" customWidth="1"/>
    <col min="4098" max="4098" width="12" customWidth="1"/>
    <col min="4099" max="4099" width="28.85546875" customWidth="1"/>
    <col min="4101" max="4102" width="0" hidden="1" customWidth="1"/>
    <col min="4103" max="4103" width="14.5703125" customWidth="1"/>
    <col min="4104" max="4105" width="0" hidden="1" customWidth="1"/>
    <col min="4107" max="4108" width="0" hidden="1" customWidth="1"/>
    <col min="4118" max="4118" width="0" hidden="1" customWidth="1"/>
    <col min="4351" max="4351" width="11.5703125" customWidth="1"/>
    <col min="4353" max="4353" width="12.42578125" customWidth="1"/>
    <col min="4354" max="4354" width="12" customWidth="1"/>
    <col min="4355" max="4355" width="28.85546875" customWidth="1"/>
    <col min="4357" max="4358" width="0" hidden="1" customWidth="1"/>
    <col min="4359" max="4359" width="14.5703125" customWidth="1"/>
    <col min="4360" max="4361" width="0" hidden="1" customWidth="1"/>
    <col min="4363" max="4364" width="0" hidden="1" customWidth="1"/>
    <col min="4374" max="4374" width="0" hidden="1" customWidth="1"/>
    <col min="4607" max="4607" width="11.5703125" customWidth="1"/>
    <col min="4609" max="4609" width="12.42578125" customWidth="1"/>
    <col min="4610" max="4610" width="12" customWidth="1"/>
    <col min="4611" max="4611" width="28.85546875" customWidth="1"/>
    <col min="4613" max="4614" width="0" hidden="1" customWidth="1"/>
    <col min="4615" max="4615" width="14.5703125" customWidth="1"/>
    <col min="4616" max="4617" width="0" hidden="1" customWidth="1"/>
    <col min="4619" max="4620" width="0" hidden="1" customWidth="1"/>
    <col min="4630" max="4630" width="0" hidden="1" customWidth="1"/>
    <col min="4863" max="4863" width="11.5703125" customWidth="1"/>
    <col min="4865" max="4865" width="12.42578125" customWidth="1"/>
    <col min="4866" max="4866" width="12" customWidth="1"/>
    <col min="4867" max="4867" width="28.85546875" customWidth="1"/>
    <col min="4869" max="4870" width="0" hidden="1" customWidth="1"/>
    <col min="4871" max="4871" width="14.5703125" customWidth="1"/>
    <col min="4872" max="4873" width="0" hidden="1" customWidth="1"/>
    <col min="4875" max="4876" width="0" hidden="1" customWidth="1"/>
    <col min="4886" max="4886" width="0" hidden="1" customWidth="1"/>
    <col min="5119" max="5119" width="11.5703125" customWidth="1"/>
    <col min="5121" max="5121" width="12.42578125" customWidth="1"/>
    <col min="5122" max="5122" width="12" customWidth="1"/>
    <col min="5123" max="5123" width="28.85546875" customWidth="1"/>
    <col min="5125" max="5126" width="0" hidden="1" customWidth="1"/>
    <col min="5127" max="5127" width="14.5703125" customWidth="1"/>
    <col min="5128" max="5129" width="0" hidden="1" customWidth="1"/>
    <col min="5131" max="5132" width="0" hidden="1" customWidth="1"/>
    <col min="5142" max="5142" width="0" hidden="1" customWidth="1"/>
    <col min="5375" max="5375" width="11.5703125" customWidth="1"/>
    <col min="5377" max="5377" width="12.42578125" customWidth="1"/>
    <col min="5378" max="5378" width="12" customWidth="1"/>
    <col min="5379" max="5379" width="28.85546875" customWidth="1"/>
    <col min="5381" max="5382" width="0" hidden="1" customWidth="1"/>
    <col min="5383" max="5383" width="14.5703125" customWidth="1"/>
    <col min="5384" max="5385" width="0" hidden="1" customWidth="1"/>
    <col min="5387" max="5388" width="0" hidden="1" customWidth="1"/>
    <col min="5398" max="5398" width="0" hidden="1" customWidth="1"/>
    <col min="5631" max="5631" width="11.5703125" customWidth="1"/>
    <col min="5633" max="5633" width="12.42578125" customWidth="1"/>
    <col min="5634" max="5634" width="12" customWidth="1"/>
    <col min="5635" max="5635" width="28.85546875" customWidth="1"/>
    <col min="5637" max="5638" width="0" hidden="1" customWidth="1"/>
    <col min="5639" max="5639" width="14.5703125" customWidth="1"/>
    <col min="5640" max="5641" width="0" hidden="1" customWidth="1"/>
    <col min="5643" max="5644" width="0" hidden="1" customWidth="1"/>
    <col min="5654" max="5654" width="0" hidden="1" customWidth="1"/>
    <col min="5887" max="5887" width="11.5703125" customWidth="1"/>
    <col min="5889" max="5889" width="12.42578125" customWidth="1"/>
    <col min="5890" max="5890" width="12" customWidth="1"/>
    <col min="5891" max="5891" width="28.85546875" customWidth="1"/>
    <col min="5893" max="5894" width="0" hidden="1" customWidth="1"/>
    <col min="5895" max="5895" width="14.5703125" customWidth="1"/>
    <col min="5896" max="5897" width="0" hidden="1" customWidth="1"/>
    <col min="5899" max="5900" width="0" hidden="1" customWidth="1"/>
    <col min="5910" max="5910" width="0" hidden="1" customWidth="1"/>
    <col min="6143" max="6143" width="11.5703125" customWidth="1"/>
    <col min="6145" max="6145" width="12.42578125" customWidth="1"/>
    <col min="6146" max="6146" width="12" customWidth="1"/>
    <col min="6147" max="6147" width="28.85546875" customWidth="1"/>
    <col min="6149" max="6150" width="0" hidden="1" customWidth="1"/>
    <col min="6151" max="6151" width="14.5703125" customWidth="1"/>
    <col min="6152" max="6153" width="0" hidden="1" customWidth="1"/>
    <col min="6155" max="6156" width="0" hidden="1" customWidth="1"/>
    <col min="6166" max="6166" width="0" hidden="1" customWidth="1"/>
    <col min="6399" max="6399" width="11.5703125" customWidth="1"/>
    <col min="6401" max="6401" width="12.42578125" customWidth="1"/>
    <col min="6402" max="6402" width="12" customWidth="1"/>
    <col min="6403" max="6403" width="28.85546875" customWidth="1"/>
    <col min="6405" max="6406" width="0" hidden="1" customWidth="1"/>
    <col min="6407" max="6407" width="14.5703125" customWidth="1"/>
    <col min="6408" max="6409" width="0" hidden="1" customWidth="1"/>
    <col min="6411" max="6412" width="0" hidden="1" customWidth="1"/>
    <col min="6422" max="6422" width="0" hidden="1" customWidth="1"/>
    <col min="6655" max="6655" width="11.5703125" customWidth="1"/>
    <col min="6657" max="6657" width="12.42578125" customWidth="1"/>
    <col min="6658" max="6658" width="12" customWidth="1"/>
    <col min="6659" max="6659" width="28.85546875" customWidth="1"/>
    <col min="6661" max="6662" width="0" hidden="1" customWidth="1"/>
    <col min="6663" max="6663" width="14.5703125" customWidth="1"/>
    <col min="6664" max="6665" width="0" hidden="1" customWidth="1"/>
    <col min="6667" max="6668" width="0" hidden="1" customWidth="1"/>
    <col min="6678" max="6678" width="0" hidden="1" customWidth="1"/>
    <col min="6911" max="6911" width="11.5703125" customWidth="1"/>
    <col min="6913" max="6913" width="12.42578125" customWidth="1"/>
    <col min="6914" max="6914" width="12" customWidth="1"/>
    <col min="6915" max="6915" width="28.85546875" customWidth="1"/>
    <col min="6917" max="6918" width="0" hidden="1" customWidth="1"/>
    <col min="6919" max="6919" width="14.5703125" customWidth="1"/>
    <col min="6920" max="6921" width="0" hidden="1" customWidth="1"/>
    <col min="6923" max="6924" width="0" hidden="1" customWidth="1"/>
    <col min="6934" max="6934" width="0" hidden="1" customWidth="1"/>
    <col min="7167" max="7167" width="11.5703125" customWidth="1"/>
    <col min="7169" max="7169" width="12.42578125" customWidth="1"/>
    <col min="7170" max="7170" width="12" customWidth="1"/>
    <col min="7171" max="7171" width="28.85546875" customWidth="1"/>
    <col min="7173" max="7174" width="0" hidden="1" customWidth="1"/>
    <col min="7175" max="7175" width="14.5703125" customWidth="1"/>
    <col min="7176" max="7177" width="0" hidden="1" customWidth="1"/>
    <col min="7179" max="7180" width="0" hidden="1" customWidth="1"/>
    <col min="7190" max="7190" width="0" hidden="1" customWidth="1"/>
    <col min="7423" max="7423" width="11.5703125" customWidth="1"/>
    <col min="7425" max="7425" width="12.42578125" customWidth="1"/>
    <col min="7426" max="7426" width="12" customWidth="1"/>
    <col min="7427" max="7427" width="28.85546875" customWidth="1"/>
    <col min="7429" max="7430" width="0" hidden="1" customWidth="1"/>
    <col min="7431" max="7431" width="14.5703125" customWidth="1"/>
    <col min="7432" max="7433" width="0" hidden="1" customWidth="1"/>
    <col min="7435" max="7436" width="0" hidden="1" customWidth="1"/>
    <col min="7446" max="7446" width="0" hidden="1" customWidth="1"/>
    <col min="7679" max="7679" width="11.5703125" customWidth="1"/>
    <col min="7681" max="7681" width="12.42578125" customWidth="1"/>
    <col min="7682" max="7682" width="12" customWidth="1"/>
    <col min="7683" max="7683" width="28.85546875" customWidth="1"/>
    <col min="7685" max="7686" width="0" hidden="1" customWidth="1"/>
    <col min="7687" max="7687" width="14.5703125" customWidth="1"/>
    <col min="7688" max="7689" width="0" hidden="1" customWidth="1"/>
    <col min="7691" max="7692" width="0" hidden="1" customWidth="1"/>
    <col min="7702" max="7702" width="0" hidden="1" customWidth="1"/>
    <col min="7935" max="7935" width="11.5703125" customWidth="1"/>
    <col min="7937" max="7937" width="12.42578125" customWidth="1"/>
    <col min="7938" max="7938" width="12" customWidth="1"/>
    <col min="7939" max="7939" width="28.85546875" customWidth="1"/>
    <col min="7941" max="7942" width="0" hidden="1" customWidth="1"/>
    <col min="7943" max="7943" width="14.5703125" customWidth="1"/>
    <col min="7944" max="7945" width="0" hidden="1" customWidth="1"/>
    <col min="7947" max="7948" width="0" hidden="1" customWidth="1"/>
    <col min="7958" max="7958" width="0" hidden="1" customWidth="1"/>
    <col min="8191" max="8191" width="11.5703125" customWidth="1"/>
    <col min="8193" max="8193" width="12.42578125" customWidth="1"/>
    <col min="8194" max="8194" width="12" customWidth="1"/>
    <col min="8195" max="8195" width="28.85546875" customWidth="1"/>
    <col min="8197" max="8198" width="0" hidden="1" customWidth="1"/>
    <col min="8199" max="8199" width="14.5703125" customWidth="1"/>
    <col min="8200" max="8201" width="0" hidden="1" customWidth="1"/>
    <col min="8203" max="8204" width="0" hidden="1" customWidth="1"/>
    <col min="8214" max="8214" width="0" hidden="1" customWidth="1"/>
    <col min="8447" max="8447" width="11.5703125" customWidth="1"/>
    <col min="8449" max="8449" width="12.42578125" customWidth="1"/>
    <col min="8450" max="8450" width="12" customWidth="1"/>
    <col min="8451" max="8451" width="28.85546875" customWidth="1"/>
    <col min="8453" max="8454" width="0" hidden="1" customWidth="1"/>
    <col min="8455" max="8455" width="14.5703125" customWidth="1"/>
    <col min="8456" max="8457" width="0" hidden="1" customWidth="1"/>
    <col min="8459" max="8460" width="0" hidden="1" customWidth="1"/>
    <col min="8470" max="8470" width="0" hidden="1" customWidth="1"/>
    <col min="8703" max="8703" width="11.5703125" customWidth="1"/>
    <col min="8705" max="8705" width="12.42578125" customWidth="1"/>
    <col min="8706" max="8706" width="12" customWidth="1"/>
    <col min="8707" max="8707" width="28.85546875" customWidth="1"/>
    <col min="8709" max="8710" width="0" hidden="1" customWidth="1"/>
    <col min="8711" max="8711" width="14.5703125" customWidth="1"/>
    <col min="8712" max="8713" width="0" hidden="1" customWidth="1"/>
    <col min="8715" max="8716" width="0" hidden="1" customWidth="1"/>
    <col min="8726" max="8726" width="0" hidden="1" customWidth="1"/>
    <col min="8959" max="8959" width="11.5703125" customWidth="1"/>
    <col min="8961" max="8961" width="12.42578125" customWidth="1"/>
    <col min="8962" max="8962" width="12" customWidth="1"/>
    <col min="8963" max="8963" width="28.85546875" customWidth="1"/>
    <col min="8965" max="8966" width="0" hidden="1" customWidth="1"/>
    <col min="8967" max="8967" width="14.5703125" customWidth="1"/>
    <col min="8968" max="8969" width="0" hidden="1" customWidth="1"/>
    <col min="8971" max="8972" width="0" hidden="1" customWidth="1"/>
    <col min="8982" max="8982" width="0" hidden="1" customWidth="1"/>
    <col min="9215" max="9215" width="11.5703125" customWidth="1"/>
    <col min="9217" max="9217" width="12.42578125" customWidth="1"/>
    <col min="9218" max="9218" width="12" customWidth="1"/>
    <col min="9219" max="9219" width="28.85546875" customWidth="1"/>
    <col min="9221" max="9222" width="0" hidden="1" customWidth="1"/>
    <col min="9223" max="9223" width="14.5703125" customWidth="1"/>
    <col min="9224" max="9225" width="0" hidden="1" customWidth="1"/>
    <col min="9227" max="9228" width="0" hidden="1" customWidth="1"/>
    <col min="9238" max="9238" width="0" hidden="1" customWidth="1"/>
    <col min="9471" max="9471" width="11.5703125" customWidth="1"/>
    <col min="9473" max="9473" width="12.42578125" customWidth="1"/>
    <col min="9474" max="9474" width="12" customWidth="1"/>
    <col min="9475" max="9475" width="28.85546875" customWidth="1"/>
    <col min="9477" max="9478" width="0" hidden="1" customWidth="1"/>
    <col min="9479" max="9479" width="14.5703125" customWidth="1"/>
    <col min="9480" max="9481" width="0" hidden="1" customWidth="1"/>
    <col min="9483" max="9484" width="0" hidden="1" customWidth="1"/>
    <col min="9494" max="9494" width="0" hidden="1" customWidth="1"/>
    <col min="9727" max="9727" width="11.5703125" customWidth="1"/>
    <col min="9729" max="9729" width="12.42578125" customWidth="1"/>
    <col min="9730" max="9730" width="12" customWidth="1"/>
    <col min="9731" max="9731" width="28.85546875" customWidth="1"/>
    <col min="9733" max="9734" width="0" hidden="1" customWidth="1"/>
    <col min="9735" max="9735" width="14.5703125" customWidth="1"/>
    <col min="9736" max="9737" width="0" hidden="1" customWidth="1"/>
    <col min="9739" max="9740" width="0" hidden="1" customWidth="1"/>
    <col min="9750" max="9750" width="0" hidden="1" customWidth="1"/>
    <col min="9983" max="9983" width="11.5703125" customWidth="1"/>
    <col min="9985" max="9985" width="12.42578125" customWidth="1"/>
    <col min="9986" max="9986" width="12" customWidth="1"/>
    <col min="9987" max="9987" width="28.85546875" customWidth="1"/>
    <col min="9989" max="9990" width="0" hidden="1" customWidth="1"/>
    <col min="9991" max="9991" width="14.5703125" customWidth="1"/>
    <col min="9992" max="9993" width="0" hidden="1" customWidth="1"/>
    <col min="9995" max="9996" width="0" hidden="1" customWidth="1"/>
    <col min="10006" max="10006" width="0" hidden="1" customWidth="1"/>
    <col min="10239" max="10239" width="11.5703125" customWidth="1"/>
    <col min="10241" max="10241" width="12.42578125" customWidth="1"/>
    <col min="10242" max="10242" width="12" customWidth="1"/>
    <col min="10243" max="10243" width="28.85546875" customWidth="1"/>
    <col min="10245" max="10246" width="0" hidden="1" customWidth="1"/>
    <col min="10247" max="10247" width="14.5703125" customWidth="1"/>
    <col min="10248" max="10249" width="0" hidden="1" customWidth="1"/>
    <col min="10251" max="10252" width="0" hidden="1" customWidth="1"/>
    <col min="10262" max="10262" width="0" hidden="1" customWidth="1"/>
    <col min="10495" max="10495" width="11.5703125" customWidth="1"/>
    <col min="10497" max="10497" width="12.42578125" customWidth="1"/>
    <col min="10498" max="10498" width="12" customWidth="1"/>
    <col min="10499" max="10499" width="28.85546875" customWidth="1"/>
    <col min="10501" max="10502" width="0" hidden="1" customWidth="1"/>
    <col min="10503" max="10503" width="14.5703125" customWidth="1"/>
    <col min="10504" max="10505" width="0" hidden="1" customWidth="1"/>
    <col min="10507" max="10508" width="0" hidden="1" customWidth="1"/>
    <col min="10518" max="10518" width="0" hidden="1" customWidth="1"/>
    <col min="10751" max="10751" width="11.5703125" customWidth="1"/>
    <col min="10753" max="10753" width="12.42578125" customWidth="1"/>
    <col min="10754" max="10754" width="12" customWidth="1"/>
    <col min="10755" max="10755" width="28.85546875" customWidth="1"/>
    <col min="10757" max="10758" width="0" hidden="1" customWidth="1"/>
    <col min="10759" max="10759" width="14.5703125" customWidth="1"/>
    <col min="10760" max="10761" width="0" hidden="1" customWidth="1"/>
    <col min="10763" max="10764" width="0" hidden="1" customWidth="1"/>
    <col min="10774" max="10774" width="0" hidden="1" customWidth="1"/>
    <col min="11007" max="11007" width="11.5703125" customWidth="1"/>
    <col min="11009" max="11009" width="12.42578125" customWidth="1"/>
    <col min="11010" max="11010" width="12" customWidth="1"/>
    <col min="11011" max="11011" width="28.85546875" customWidth="1"/>
    <col min="11013" max="11014" width="0" hidden="1" customWidth="1"/>
    <col min="11015" max="11015" width="14.5703125" customWidth="1"/>
    <col min="11016" max="11017" width="0" hidden="1" customWidth="1"/>
    <col min="11019" max="11020" width="0" hidden="1" customWidth="1"/>
    <col min="11030" max="11030" width="0" hidden="1" customWidth="1"/>
    <col min="11263" max="11263" width="11.5703125" customWidth="1"/>
    <col min="11265" max="11265" width="12.42578125" customWidth="1"/>
    <col min="11266" max="11266" width="12" customWidth="1"/>
    <col min="11267" max="11267" width="28.85546875" customWidth="1"/>
    <col min="11269" max="11270" width="0" hidden="1" customWidth="1"/>
    <col min="11271" max="11271" width="14.5703125" customWidth="1"/>
    <col min="11272" max="11273" width="0" hidden="1" customWidth="1"/>
    <col min="11275" max="11276" width="0" hidden="1" customWidth="1"/>
    <col min="11286" max="11286" width="0" hidden="1" customWidth="1"/>
    <col min="11519" max="11519" width="11.5703125" customWidth="1"/>
    <col min="11521" max="11521" width="12.42578125" customWidth="1"/>
    <col min="11522" max="11522" width="12" customWidth="1"/>
    <col min="11523" max="11523" width="28.85546875" customWidth="1"/>
    <col min="11525" max="11526" width="0" hidden="1" customWidth="1"/>
    <col min="11527" max="11527" width="14.5703125" customWidth="1"/>
    <col min="11528" max="11529" width="0" hidden="1" customWidth="1"/>
    <col min="11531" max="11532" width="0" hidden="1" customWidth="1"/>
    <col min="11542" max="11542" width="0" hidden="1" customWidth="1"/>
    <col min="11775" max="11775" width="11.5703125" customWidth="1"/>
    <col min="11777" max="11777" width="12.42578125" customWidth="1"/>
    <col min="11778" max="11778" width="12" customWidth="1"/>
    <col min="11779" max="11779" width="28.85546875" customWidth="1"/>
    <col min="11781" max="11782" width="0" hidden="1" customWidth="1"/>
    <col min="11783" max="11783" width="14.5703125" customWidth="1"/>
    <col min="11784" max="11785" width="0" hidden="1" customWidth="1"/>
    <col min="11787" max="11788" width="0" hidden="1" customWidth="1"/>
    <col min="11798" max="11798" width="0" hidden="1" customWidth="1"/>
    <col min="12031" max="12031" width="11.5703125" customWidth="1"/>
    <col min="12033" max="12033" width="12.42578125" customWidth="1"/>
    <col min="12034" max="12034" width="12" customWidth="1"/>
    <col min="12035" max="12035" width="28.85546875" customWidth="1"/>
    <col min="12037" max="12038" width="0" hidden="1" customWidth="1"/>
    <col min="12039" max="12039" width="14.5703125" customWidth="1"/>
    <col min="12040" max="12041" width="0" hidden="1" customWidth="1"/>
    <col min="12043" max="12044" width="0" hidden="1" customWidth="1"/>
    <col min="12054" max="12054" width="0" hidden="1" customWidth="1"/>
    <col min="12287" max="12287" width="11.5703125" customWidth="1"/>
    <col min="12289" max="12289" width="12.42578125" customWidth="1"/>
    <col min="12290" max="12290" width="12" customWidth="1"/>
    <col min="12291" max="12291" width="28.85546875" customWidth="1"/>
    <col min="12293" max="12294" width="0" hidden="1" customWidth="1"/>
    <col min="12295" max="12295" width="14.5703125" customWidth="1"/>
    <col min="12296" max="12297" width="0" hidden="1" customWidth="1"/>
    <col min="12299" max="12300" width="0" hidden="1" customWidth="1"/>
    <col min="12310" max="12310" width="0" hidden="1" customWidth="1"/>
    <col min="12543" max="12543" width="11.5703125" customWidth="1"/>
    <col min="12545" max="12545" width="12.42578125" customWidth="1"/>
    <col min="12546" max="12546" width="12" customWidth="1"/>
    <col min="12547" max="12547" width="28.85546875" customWidth="1"/>
    <col min="12549" max="12550" width="0" hidden="1" customWidth="1"/>
    <col min="12551" max="12551" width="14.5703125" customWidth="1"/>
    <col min="12552" max="12553" width="0" hidden="1" customWidth="1"/>
    <col min="12555" max="12556" width="0" hidden="1" customWidth="1"/>
    <col min="12566" max="12566" width="0" hidden="1" customWidth="1"/>
    <col min="12799" max="12799" width="11.5703125" customWidth="1"/>
    <col min="12801" max="12801" width="12.42578125" customWidth="1"/>
    <col min="12802" max="12802" width="12" customWidth="1"/>
    <col min="12803" max="12803" width="28.85546875" customWidth="1"/>
    <col min="12805" max="12806" width="0" hidden="1" customWidth="1"/>
    <col min="12807" max="12807" width="14.5703125" customWidth="1"/>
    <col min="12808" max="12809" width="0" hidden="1" customWidth="1"/>
    <col min="12811" max="12812" width="0" hidden="1" customWidth="1"/>
    <col min="12822" max="12822" width="0" hidden="1" customWidth="1"/>
    <col min="13055" max="13055" width="11.5703125" customWidth="1"/>
    <col min="13057" max="13057" width="12.42578125" customWidth="1"/>
    <col min="13058" max="13058" width="12" customWidth="1"/>
    <col min="13059" max="13059" width="28.85546875" customWidth="1"/>
    <col min="13061" max="13062" width="0" hidden="1" customWidth="1"/>
    <col min="13063" max="13063" width="14.5703125" customWidth="1"/>
    <col min="13064" max="13065" width="0" hidden="1" customWidth="1"/>
    <col min="13067" max="13068" width="0" hidden="1" customWidth="1"/>
    <col min="13078" max="13078" width="0" hidden="1" customWidth="1"/>
    <col min="13311" max="13311" width="11.5703125" customWidth="1"/>
    <col min="13313" max="13313" width="12.42578125" customWidth="1"/>
    <col min="13314" max="13314" width="12" customWidth="1"/>
    <col min="13315" max="13315" width="28.85546875" customWidth="1"/>
    <col min="13317" max="13318" width="0" hidden="1" customWidth="1"/>
    <col min="13319" max="13319" width="14.5703125" customWidth="1"/>
    <col min="13320" max="13321" width="0" hidden="1" customWidth="1"/>
    <col min="13323" max="13324" width="0" hidden="1" customWidth="1"/>
    <col min="13334" max="13334" width="0" hidden="1" customWidth="1"/>
    <col min="13567" max="13567" width="11.5703125" customWidth="1"/>
    <col min="13569" max="13569" width="12.42578125" customWidth="1"/>
    <col min="13570" max="13570" width="12" customWidth="1"/>
    <col min="13571" max="13571" width="28.85546875" customWidth="1"/>
    <col min="13573" max="13574" width="0" hidden="1" customWidth="1"/>
    <col min="13575" max="13575" width="14.5703125" customWidth="1"/>
    <col min="13576" max="13577" width="0" hidden="1" customWidth="1"/>
    <col min="13579" max="13580" width="0" hidden="1" customWidth="1"/>
    <col min="13590" max="13590" width="0" hidden="1" customWidth="1"/>
    <col min="13823" max="13823" width="11.5703125" customWidth="1"/>
    <col min="13825" max="13825" width="12.42578125" customWidth="1"/>
    <col min="13826" max="13826" width="12" customWidth="1"/>
    <col min="13827" max="13827" width="28.85546875" customWidth="1"/>
    <col min="13829" max="13830" width="0" hidden="1" customWidth="1"/>
    <col min="13831" max="13831" width="14.5703125" customWidth="1"/>
    <col min="13832" max="13833" width="0" hidden="1" customWidth="1"/>
    <col min="13835" max="13836" width="0" hidden="1" customWidth="1"/>
    <col min="13846" max="13846" width="0" hidden="1" customWidth="1"/>
    <col min="14079" max="14079" width="11.5703125" customWidth="1"/>
    <col min="14081" max="14081" width="12.42578125" customWidth="1"/>
    <col min="14082" max="14082" width="12" customWidth="1"/>
    <col min="14083" max="14083" width="28.85546875" customWidth="1"/>
    <col min="14085" max="14086" width="0" hidden="1" customWidth="1"/>
    <col min="14087" max="14087" width="14.5703125" customWidth="1"/>
    <col min="14088" max="14089" width="0" hidden="1" customWidth="1"/>
    <col min="14091" max="14092" width="0" hidden="1" customWidth="1"/>
    <col min="14102" max="14102" width="0" hidden="1" customWidth="1"/>
    <col min="14335" max="14335" width="11.5703125" customWidth="1"/>
    <col min="14337" max="14337" width="12.42578125" customWidth="1"/>
    <col min="14338" max="14338" width="12" customWidth="1"/>
    <col min="14339" max="14339" width="28.85546875" customWidth="1"/>
    <col min="14341" max="14342" width="0" hidden="1" customWidth="1"/>
    <col min="14343" max="14343" width="14.5703125" customWidth="1"/>
    <col min="14344" max="14345" width="0" hidden="1" customWidth="1"/>
    <col min="14347" max="14348" width="0" hidden="1" customWidth="1"/>
    <col min="14358" max="14358" width="0" hidden="1" customWidth="1"/>
    <col min="14591" max="14591" width="11.5703125" customWidth="1"/>
    <col min="14593" max="14593" width="12.42578125" customWidth="1"/>
    <col min="14594" max="14594" width="12" customWidth="1"/>
    <col min="14595" max="14595" width="28.85546875" customWidth="1"/>
    <col min="14597" max="14598" width="0" hidden="1" customWidth="1"/>
    <col min="14599" max="14599" width="14.5703125" customWidth="1"/>
    <col min="14600" max="14601" width="0" hidden="1" customWidth="1"/>
    <col min="14603" max="14604" width="0" hidden="1" customWidth="1"/>
    <col min="14614" max="14614" width="0" hidden="1" customWidth="1"/>
    <col min="14847" max="14847" width="11.5703125" customWidth="1"/>
    <col min="14849" max="14849" width="12.42578125" customWidth="1"/>
    <col min="14850" max="14850" width="12" customWidth="1"/>
    <col min="14851" max="14851" width="28.85546875" customWidth="1"/>
    <col min="14853" max="14854" width="0" hidden="1" customWidth="1"/>
    <col min="14855" max="14855" width="14.5703125" customWidth="1"/>
    <col min="14856" max="14857" width="0" hidden="1" customWidth="1"/>
    <col min="14859" max="14860" width="0" hidden="1" customWidth="1"/>
    <col min="14870" max="14870" width="0" hidden="1" customWidth="1"/>
    <col min="15103" max="15103" width="11.5703125" customWidth="1"/>
    <col min="15105" max="15105" width="12.42578125" customWidth="1"/>
    <col min="15106" max="15106" width="12" customWidth="1"/>
    <col min="15107" max="15107" width="28.85546875" customWidth="1"/>
    <col min="15109" max="15110" width="0" hidden="1" customWidth="1"/>
    <col min="15111" max="15111" width="14.5703125" customWidth="1"/>
    <col min="15112" max="15113" width="0" hidden="1" customWidth="1"/>
    <col min="15115" max="15116" width="0" hidden="1" customWidth="1"/>
    <col min="15126" max="15126" width="0" hidden="1" customWidth="1"/>
    <col min="15359" max="15359" width="11.5703125" customWidth="1"/>
    <col min="15361" max="15361" width="12.42578125" customWidth="1"/>
    <col min="15362" max="15362" width="12" customWidth="1"/>
    <col min="15363" max="15363" width="28.85546875" customWidth="1"/>
    <col min="15365" max="15366" width="0" hidden="1" customWidth="1"/>
    <col min="15367" max="15367" width="14.5703125" customWidth="1"/>
    <col min="15368" max="15369" width="0" hidden="1" customWidth="1"/>
    <col min="15371" max="15372" width="0" hidden="1" customWidth="1"/>
    <col min="15382" max="15382" width="0" hidden="1" customWidth="1"/>
    <col min="15615" max="15615" width="11.5703125" customWidth="1"/>
    <col min="15617" max="15617" width="12.42578125" customWidth="1"/>
    <col min="15618" max="15618" width="12" customWidth="1"/>
    <col min="15619" max="15619" width="28.85546875" customWidth="1"/>
    <col min="15621" max="15622" width="0" hidden="1" customWidth="1"/>
    <col min="15623" max="15623" width="14.5703125" customWidth="1"/>
    <col min="15624" max="15625" width="0" hidden="1" customWidth="1"/>
    <col min="15627" max="15628" width="0" hidden="1" customWidth="1"/>
    <col min="15638" max="15638" width="0" hidden="1" customWidth="1"/>
    <col min="15871" max="15871" width="11.5703125" customWidth="1"/>
    <col min="15873" max="15873" width="12.42578125" customWidth="1"/>
    <col min="15874" max="15874" width="12" customWidth="1"/>
    <col min="15875" max="15875" width="28.85546875" customWidth="1"/>
    <col min="15877" max="15878" width="0" hidden="1" customWidth="1"/>
    <col min="15879" max="15879" width="14.5703125" customWidth="1"/>
    <col min="15880" max="15881" width="0" hidden="1" customWidth="1"/>
    <col min="15883" max="15884" width="0" hidden="1" customWidth="1"/>
    <col min="15894" max="15894" width="0" hidden="1" customWidth="1"/>
    <col min="16127" max="16127" width="11.5703125" customWidth="1"/>
    <col min="16129" max="16129" width="12.42578125" customWidth="1"/>
    <col min="16130" max="16130" width="12" customWidth="1"/>
    <col min="16131" max="16131" width="28.85546875" customWidth="1"/>
    <col min="16133" max="16134" width="0" hidden="1" customWidth="1"/>
    <col min="16135" max="16135" width="14.5703125" customWidth="1"/>
    <col min="16136" max="16137" width="0" hidden="1" customWidth="1"/>
    <col min="16139" max="16140" width="0" hidden="1" customWidth="1"/>
    <col min="16150" max="16150" width="0" hidden="1" customWidth="1"/>
  </cols>
  <sheetData>
    <row r="1" spans="1:23">
      <c r="F1" s="14"/>
    </row>
    <row r="2" spans="1:23" ht="23.25" customHeight="1">
      <c r="A2" s="661"/>
      <c r="B2" s="661"/>
      <c r="C2" s="714" t="s">
        <v>1319</v>
      </c>
      <c r="D2" s="714"/>
      <c r="E2" s="714"/>
      <c r="F2" s="714"/>
      <c r="G2" s="714"/>
      <c r="H2" s="714"/>
      <c r="I2" s="714"/>
      <c r="J2" s="714"/>
      <c r="K2" s="714"/>
      <c r="L2" s="714"/>
      <c r="M2" s="714"/>
      <c r="N2" s="714"/>
      <c r="O2" s="714"/>
      <c r="P2" s="714"/>
      <c r="Q2" s="714"/>
      <c r="R2" s="714"/>
      <c r="S2" s="714"/>
      <c r="T2" s="714"/>
      <c r="U2" s="714"/>
    </row>
    <row r="3" spans="1:23" ht="22.5" customHeight="1">
      <c r="A3" s="661"/>
      <c r="B3" s="661"/>
      <c r="C3" s="714" t="s">
        <v>1320</v>
      </c>
      <c r="D3" s="714"/>
      <c r="E3" s="714"/>
      <c r="F3" s="714"/>
      <c r="G3" s="714"/>
      <c r="H3" s="714"/>
      <c r="I3" s="714"/>
      <c r="J3" s="714"/>
      <c r="K3" s="714"/>
      <c r="L3" s="714"/>
      <c r="M3" s="714"/>
      <c r="N3" s="714"/>
      <c r="O3" s="714"/>
      <c r="P3" s="714"/>
      <c r="Q3" s="714"/>
      <c r="R3" s="714"/>
      <c r="S3" s="714"/>
      <c r="T3" s="714"/>
      <c r="U3" s="714"/>
    </row>
    <row r="4" spans="1:23" ht="22.5" customHeight="1">
      <c r="A4" s="661"/>
      <c r="B4" s="661"/>
      <c r="C4" s="714" t="s">
        <v>803</v>
      </c>
      <c r="D4" s="714"/>
      <c r="E4" s="714"/>
      <c r="F4" s="714"/>
      <c r="G4" s="714"/>
      <c r="H4" s="714"/>
      <c r="I4" s="714"/>
      <c r="J4" s="714"/>
      <c r="K4" s="714"/>
      <c r="L4" s="714"/>
      <c r="M4" s="714"/>
      <c r="N4" s="714"/>
      <c r="O4" s="714"/>
      <c r="P4" s="714"/>
      <c r="Q4" s="714"/>
      <c r="R4" s="714"/>
      <c r="S4" s="714"/>
      <c r="T4" s="714"/>
      <c r="U4" s="714"/>
    </row>
    <row r="5" spans="1:23" ht="45" customHeight="1">
      <c r="A5" s="661"/>
      <c r="B5" s="661"/>
      <c r="C5" s="704" t="s">
        <v>1331</v>
      </c>
      <c r="D5" s="704"/>
      <c r="E5" s="704"/>
      <c r="F5" s="704"/>
      <c r="G5" s="704"/>
      <c r="H5" s="704"/>
      <c r="I5" s="704"/>
      <c r="J5" s="704"/>
      <c r="K5" s="704"/>
      <c r="L5" s="704"/>
      <c r="M5" s="704"/>
      <c r="N5" s="704"/>
      <c r="O5" s="704"/>
      <c r="P5" s="704"/>
      <c r="Q5" s="704"/>
      <c r="R5" s="704"/>
      <c r="S5" s="704"/>
      <c r="T5" s="704"/>
      <c r="U5" s="704"/>
    </row>
    <row r="6" spans="1:23" ht="19.5" thickBot="1">
      <c r="A6" s="13"/>
      <c r="B6" s="13"/>
      <c r="F6" s="14"/>
      <c r="I6" s="185" t="s">
        <v>1318</v>
      </c>
      <c r="M6" s="13"/>
    </row>
    <row r="7" spans="1:23" s="185" customFormat="1" ht="24.95" customHeight="1">
      <c r="A7" s="662" t="s">
        <v>92</v>
      </c>
      <c r="B7" s="663"/>
      <c r="C7" s="351">
        <v>258027323.47999999</v>
      </c>
      <c r="D7" s="348"/>
      <c r="E7" s="195"/>
      <c r="F7" s="195"/>
      <c r="M7" s="196"/>
    </row>
    <row r="8" spans="1:23" s="185" customFormat="1" ht="24.95" customHeight="1">
      <c r="A8" s="659" t="s">
        <v>847</v>
      </c>
      <c r="B8" s="660"/>
      <c r="C8" s="352">
        <f>G155</f>
        <v>255055429.1999999</v>
      </c>
      <c r="D8" s="349"/>
      <c r="E8" s="195"/>
      <c r="F8" s="195"/>
      <c r="M8" s="196"/>
    </row>
    <row r="9" spans="1:23" s="185" customFormat="1" ht="24.95" customHeight="1">
      <c r="A9" s="659" t="s">
        <v>5</v>
      </c>
      <c r="B9" s="660"/>
      <c r="C9" s="352">
        <f>I155</f>
        <v>225136946.62</v>
      </c>
      <c r="D9" s="349"/>
      <c r="E9" s="195"/>
      <c r="F9" s="195"/>
      <c r="M9" s="196"/>
    </row>
    <row r="10" spans="1:23" s="185" customFormat="1" ht="24.95" customHeight="1" thickBot="1">
      <c r="A10" s="651" t="s">
        <v>13</v>
      </c>
      <c r="B10" s="652"/>
      <c r="C10" s="471">
        <f>C8-C9</f>
        <v>29918482.579999894</v>
      </c>
      <c r="D10" s="350"/>
      <c r="E10" s="195"/>
      <c r="F10" s="195"/>
      <c r="G10" s="195"/>
      <c r="H10" s="195"/>
      <c r="I10" s="195"/>
      <c r="M10" s="196"/>
    </row>
    <row r="11" spans="1:23" ht="25.5" customHeight="1" thickTop="1" thickBot="1">
      <c r="A11" s="17"/>
      <c r="B11" s="17"/>
      <c r="C11" s="17"/>
      <c r="D11" s="17"/>
      <c r="E11" s="18"/>
      <c r="F11" s="17"/>
      <c r="G11" s="653" t="s">
        <v>14</v>
      </c>
      <c r="H11" s="654"/>
      <c r="I11" s="655" t="s">
        <v>15</v>
      </c>
      <c r="J11" s="654"/>
      <c r="K11" s="656" t="s">
        <v>16</v>
      </c>
      <c r="L11" s="656"/>
      <c r="M11" s="19"/>
      <c r="N11" s="20"/>
      <c r="O11" s="20"/>
      <c r="P11" s="21"/>
      <c r="Q11" s="21"/>
      <c r="R11" s="21"/>
      <c r="S11" s="22"/>
      <c r="T11" s="20"/>
      <c r="U11" s="482" t="s">
        <v>1039</v>
      </c>
      <c r="V11" s="20"/>
    </row>
    <row r="12" spans="1:23" ht="51" customHeight="1" thickTop="1" thickBot="1">
      <c r="A12" s="23" t="s">
        <v>17</v>
      </c>
      <c r="B12" s="24" t="s">
        <v>18</v>
      </c>
      <c r="C12" s="24" t="s">
        <v>19</v>
      </c>
      <c r="D12" s="24" t="s">
        <v>20</v>
      </c>
      <c r="E12" s="25" t="s">
        <v>21</v>
      </c>
      <c r="F12" s="24" t="s">
        <v>22</v>
      </c>
      <c r="G12" s="26" t="s">
        <v>23</v>
      </c>
      <c r="H12" s="26" t="s">
        <v>24</v>
      </c>
      <c r="I12" s="26" t="s">
        <v>23</v>
      </c>
      <c r="J12" s="26" t="s">
        <v>24</v>
      </c>
      <c r="K12" s="26" t="s">
        <v>23</v>
      </c>
      <c r="L12" s="27" t="s">
        <v>24</v>
      </c>
      <c r="M12" s="24" t="s">
        <v>25</v>
      </c>
      <c r="N12" s="24" t="s">
        <v>26</v>
      </c>
      <c r="O12" s="24" t="s">
        <v>27</v>
      </c>
      <c r="P12" s="657" t="s">
        <v>28</v>
      </c>
      <c r="Q12" s="658"/>
      <c r="R12" s="480" t="s">
        <v>29</v>
      </c>
      <c r="S12" s="24" t="s">
        <v>30</v>
      </c>
      <c r="T12" s="24" t="s">
        <v>31</v>
      </c>
      <c r="U12" s="28" t="s">
        <v>32</v>
      </c>
      <c r="V12" s="29"/>
    </row>
    <row r="13" spans="1:23" s="188" customFormat="1" ht="44.25" thickTop="1">
      <c r="A13" s="244" t="s">
        <v>33</v>
      </c>
      <c r="B13" s="245">
        <v>43397</v>
      </c>
      <c r="C13" s="246" t="s">
        <v>1202</v>
      </c>
      <c r="D13" s="494" t="s">
        <v>137</v>
      </c>
      <c r="E13" s="495" t="s">
        <v>34</v>
      </c>
      <c r="F13" s="247" t="s">
        <v>35</v>
      </c>
      <c r="G13" s="496">
        <f t="shared" ref="G13:G145" si="0">H13</f>
        <v>0</v>
      </c>
      <c r="H13" s="211">
        <v>0</v>
      </c>
      <c r="I13" s="496">
        <f t="shared" ref="I13:I138" si="1">J13</f>
        <v>0</v>
      </c>
      <c r="J13" s="497">
        <v>0</v>
      </c>
      <c r="K13" s="496">
        <f t="shared" ref="K13:K138" si="2">L13</f>
        <v>0</v>
      </c>
      <c r="L13" s="498">
        <f t="shared" ref="L13:L148" si="3">H13-J13</f>
        <v>0</v>
      </c>
      <c r="M13" s="248" t="s">
        <v>36</v>
      </c>
      <c r="N13" s="577" t="s">
        <v>1290</v>
      </c>
      <c r="O13" s="580" t="s">
        <v>1300</v>
      </c>
      <c r="P13" s="499" t="s">
        <v>37</v>
      </c>
      <c r="Q13" s="500">
        <v>1</v>
      </c>
      <c r="R13" s="501">
        <v>750000</v>
      </c>
      <c r="S13" s="502" t="s">
        <v>38</v>
      </c>
      <c r="T13" s="502" t="s">
        <v>38</v>
      </c>
      <c r="U13" s="503" t="s">
        <v>39</v>
      </c>
      <c r="V13" s="249"/>
      <c r="W13" s="249"/>
    </row>
    <row r="14" spans="1:23" s="188" customFormat="1" ht="43.5">
      <c r="A14" s="504" t="s">
        <v>33</v>
      </c>
      <c r="B14" s="250">
        <v>43397</v>
      </c>
      <c r="C14" s="251" t="s">
        <v>1203</v>
      </c>
      <c r="D14" s="505" t="s">
        <v>137</v>
      </c>
      <c r="E14" s="506" t="s">
        <v>40</v>
      </c>
      <c r="F14" s="507" t="s">
        <v>41</v>
      </c>
      <c r="G14" s="210">
        <f t="shared" si="0"/>
        <v>0</v>
      </c>
      <c r="H14" s="211">
        <v>0</v>
      </c>
      <c r="I14" s="210">
        <f t="shared" si="1"/>
        <v>0</v>
      </c>
      <c r="J14" s="211">
        <v>0</v>
      </c>
      <c r="K14" s="210">
        <f t="shared" si="2"/>
        <v>0</v>
      </c>
      <c r="L14" s="508">
        <f t="shared" si="3"/>
        <v>0</v>
      </c>
      <c r="M14" s="509" t="s">
        <v>36</v>
      </c>
      <c r="N14" s="581" t="s">
        <v>1300</v>
      </c>
      <c r="O14" s="580" t="s">
        <v>1300</v>
      </c>
      <c r="P14" s="510" t="s">
        <v>37</v>
      </c>
      <c r="Q14" s="212">
        <v>1</v>
      </c>
      <c r="R14" s="511">
        <v>750000</v>
      </c>
      <c r="S14" s="512" t="s">
        <v>38</v>
      </c>
      <c r="T14" s="512" t="s">
        <v>38</v>
      </c>
      <c r="U14" s="513" t="s">
        <v>39</v>
      </c>
      <c r="V14" s="249"/>
      <c r="W14" s="249"/>
    </row>
    <row r="15" spans="1:23" s="188" customFormat="1" ht="42.75">
      <c r="A15" s="504" t="s">
        <v>33</v>
      </c>
      <c r="B15" s="250">
        <v>43385</v>
      </c>
      <c r="C15" s="251" t="s">
        <v>848</v>
      </c>
      <c r="D15" s="505" t="s">
        <v>137</v>
      </c>
      <c r="E15" s="506" t="s">
        <v>42</v>
      </c>
      <c r="F15" s="507" t="s">
        <v>43</v>
      </c>
      <c r="G15" s="210">
        <f t="shared" si="0"/>
        <v>832091.2</v>
      </c>
      <c r="H15" s="211">
        <f>I15</f>
        <v>832091.2</v>
      </c>
      <c r="I15" s="210">
        <f t="shared" si="1"/>
        <v>832091.2</v>
      </c>
      <c r="J15" s="211">
        <f>13920+818171.2</f>
        <v>832091.2</v>
      </c>
      <c r="K15" s="210">
        <f t="shared" si="2"/>
        <v>0</v>
      </c>
      <c r="L15" s="508">
        <f t="shared" si="3"/>
        <v>0</v>
      </c>
      <c r="M15" s="509" t="s">
        <v>36</v>
      </c>
      <c r="N15" s="578">
        <f t="shared" ref="N15:N138" si="4">I15/G15</f>
        <v>1</v>
      </c>
      <c r="O15" s="578">
        <v>0</v>
      </c>
      <c r="P15" s="510" t="s">
        <v>37</v>
      </c>
      <c r="Q15" s="212">
        <v>1</v>
      </c>
      <c r="R15" s="511">
        <v>750000</v>
      </c>
      <c r="S15" s="512" t="s">
        <v>273</v>
      </c>
      <c r="T15" s="512" t="s">
        <v>273</v>
      </c>
      <c r="U15" s="513" t="s">
        <v>273</v>
      </c>
      <c r="V15" s="249"/>
      <c r="W15" s="249"/>
    </row>
    <row r="16" spans="1:23" s="188" customFormat="1" ht="43.5">
      <c r="A16" s="504" t="s">
        <v>33</v>
      </c>
      <c r="B16" s="250">
        <v>43397</v>
      </c>
      <c r="C16" s="251" t="s">
        <v>1204</v>
      </c>
      <c r="D16" s="505" t="s">
        <v>137</v>
      </c>
      <c r="E16" s="506" t="s">
        <v>44</v>
      </c>
      <c r="F16" s="507" t="s">
        <v>45</v>
      </c>
      <c r="G16" s="210">
        <f t="shared" si="0"/>
        <v>0</v>
      </c>
      <c r="H16" s="211">
        <v>0</v>
      </c>
      <c r="I16" s="210">
        <f t="shared" si="1"/>
        <v>0</v>
      </c>
      <c r="J16" s="211">
        <v>0</v>
      </c>
      <c r="K16" s="210">
        <f t="shared" si="2"/>
        <v>0</v>
      </c>
      <c r="L16" s="508">
        <f t="shared" si="3"/>
        <v>0</v>
      </c>
      <c r="M16" s="509" t="s">
        <v>36</v>
      </c>
      <c r="N16" s="581" t="s">
        <v>1300</v>
      </c>
      <c r="O16" s="578">
        <v>0</v>
      </c>
      <c r="P16" s="510" t="s">
        <v>37</v>
      </c>
      <c r="Q16" s="212">
        <v>1</v>
      </c>
      <c r="R16" s="511">
        <v>750000</v>
      </c>
      <c r="S16" s="512" t="s">
        <v>38</v>
      </c>
      <c r="T16" s="512" t="s">
        <v>38</v>
      </c>
      <c r="U16" s="513" t="s">
        <v>39</v>
      </c>
      <c r="V16" s="249"/>
      <c r="W16" s="249"/>
    </row>
    <row r="17" spans="1:23" s="188" customFormat="1" ht="28.5">
      <c r="A17" s="504" t="s">
        <v>33</v>
      </c>
      <c r="B17" s="250">
        <v>43385</v>
      </c>
      <c r="C17" s="251" t="s">
        <v>849</v>
      </c>
      <c r="D17" s="505" t="s">
        <v>137</v>
      </c>
      <c r="E17" s="506" t="s">
        <v>46</v>
      </c>
      <c r="F17" s="507" t="s">
        <v>47</v>
      </c>
      <c r="G17" s="210">
        <f t="shared" si="0"/>
        <v>37305.599999999999</v>
      </c>
      <c r="H17" s="211">
        <v>37305.599999999999</v>
      </c>
      <c r="I17" s="210">
        <f t="shared" si="1"/>
        <v>37305.599999999999</v>
      </c>
      <c r="J17" s="211">
        <f>37305.6</f>
        <v>37305.599999999999</v>
      </c>
      <c r="K17" s="210">
        <f t="shared" si="2"/>
        <v>0</v>
      </c>
      <c r="L17" s="508">
        <f t="shared" si="3"/>
        <v>0</v>
      </c>
      <c r="M17" s="509" t="s">
        <v>36</v>
      </c>
      <c r="N17" s="578">
        <f t="shared" si="4"/>
        <v>1</v>
      </c>
      <c r="O17" s="578">
        <v>0</v>
      </c>
      <c r="P17" s="510" t="s">
        <v>37</v>
      </c>
      <c r="Q17" s="212">
        <v>1</v>
      </c>
      <c r="R17" s="511">
        <v>750000</v>
      </c>
      <c r="S17" s="512" t="s">
        <v>38</v>
      </c>
      <c r="T17" s="512" t="s">
        <v>38</v>
      </c>
      <c r="U17" s="513" t="s">
        <v>39</v>
      </c>
      <c r="V17" s="249"/>
      <c r="W17" s="249"/>
    </row>
    <row r="18" spans="1:23" s="188" customFormat="1" ht="43.5">
      <c r="A18" s="504" t="s">
        <v>33</v>
      </c>
      <c r="B18" s="250">
        <v>43164</v>
      </c>
      <c r="C18" s="251" t="s">
        <v>1205</v>
      </c>
      <c r="D18" s="505" t="s">
        <v>149</v>
      </c>
      <c r="E18" s="506" t="s">
        <v>48</v>
      </c>
      <c r="F18" s="507" t="s">
        <v>49</v>
      </c>
      <c r="G18" s="210">
        <f t="shared" si="0"/>
        <v>0</v>
      </c>
      <c r="H18" s="211">
        <v>0</v>
      </c>
      <c r="I18" s="210">
        <f t="shared" si="1"/>
        <v>0</v>
      </c>
      <c r="J18" s="211">
        <v>0</v>
      </c>
      <c r="K18" s="210">
        <f t="shared" si="2"/>
        <v>0</v>
      </c>
      <c r="L18" s="508">
        <f t="shared" si="3"/>
        <v>0</v>
      </c>
      <c r="M18" s="509" t="s">
        <v>36</v>
      </c>
      <c r="N18" s="581" t="s">
        <v>1300</v>
      </c>
      <c r="O18" s="580" t="s">
        <v>1300</v>
      </c>
      <c r="P18" s="510" t="s">
        <v>37</v>
      </c>
      <c r="Q18" s="212">
        <v>1</v>
      </c>
      <c r="R18" s="511">
        <v>750000</v>
      </c>
      <c r="S18" s="512" t="s">
        <v>38</v>
      </c>
      <c r="T18" s="512" t="s">
        <v>38</v>
      </c>
      <c r="U18" s="513" t="s">
        <v>39</v>
      </c>
      <c r="V18" s="249"/>
      <c r="W18" s="249"/>
    </row>
    <row r="19" spans="1:23" s="188" customFormat="1" ht="43.5">
      <c r="A19" s="504" t="s">
        <v>33</v>
      </c>
      <c r="B19" s="250">
        <v>43164</v>
      </c>
      <c r="C19" s="251" t="s">
        <v>1206</v>
      </c>
      <c r="D19" s="505" t="s">
        <v>127</v>
      </c>
      <c r="E19" s="506" t="s">
        <v>804</v>
      </c>
      <c r="F19" s="514" t="s">
        <v>191</v>
      </c>
      <c r="G19" s="210">
        <f t="shared" si="0"/>
        <v>0</v>
      </c>
      <c r="H19" s="211">
        <v>0</v>
      </c>
      <c r="I19" s="210">
        <f t="shared" si="1"/>
        <v>0</v>
      </c>
      <c r="J19" s="211">
        <v>0</v>
      </c>
      <c r="K19" s="210">
        <f t="shared" si="2"/>
        <v>0</v>
      </c>
      <c r="L19" s="508">
        <f t="shared" si="3"/>
        <v>0</v>
      </c>
      <c r="M19" s="509" t="s">
        <v>36</v>
      </c>
      <c r="N19" s="581" t="s">
        <v>1300</v>
      </c>
      <c r="O19" s="580" t="s">
        <v>1300</v>
      </c>
      <c r="P19" s="510" t="s">
        <v>37</v>
      </c>
      <c r="Q19" s="212">
        <v>1</v>
      </c>
      <c r="R19" s="511">
        <v>750000</v>
      </c>
      <c r="S19" s="512" t="s">
        <v>38</v>
      </c>
      <c r="T19" s="512" t="s">
        <v>38</v>
      </c>
      <c r="U19" s="513" t="s">
        <v>39</v>
      </c>
      <c r="V19" s="249"/>
      <c r="W19" s="249"/>
    </row>
    <row r="20" spans="1:23" s="188" customFormat="1" ht="42.75">
      <c r="A20" s="504" t="s">
        <v>33</v>
      </c>
      <c r="B20" s="250">
        <v>43462</v>
      </c>
      <c r="C20" s="251" t="s">
        <v>1040</v>
      </c>
      <c r="D20" s="505" t="s">
        <v>127</v>
      </c>
      <c r="E20" s="506" t="s">
        <v>50</v>
      </c>
      <c r="F20" s="507" t="s">
        <v>51</v>
      </c>
      <c r="G20" s="210">
        <f t="shared" si="0"/>
        <v>4729549.62</v>
      </c>
      <c r="H20" s="211">
        <f>I20</f>
        <v>4729549.62</v>
      </c>
      <c r="I20" s="210">
        <f t="shared" si="1"/>
        <v>4729549.62</v>
      </c>
      <c r="J20" s="211">
        <f>2198165.2+927768+3823.36+1599793.06</f>
        <v>4729549.62</v>
      </c>
      <c r="K20" s="210">
        <f t="shared" si="2"/>
        <v>0</v>
      </c>
      <c r="L20" s="508">
        <f t="shared" si="3"/>
        <v>0</v>
      </c>
      <c r="M20" s="509" t="s">
        <v>36</v>
      </c>
      <c r="N20" s="581" t="s">
        <v>1300</v>
      </c>
      <c r="O20" s="580" t="s">
        <v>1300</v>
      </c>
      <c r="P20" s="510" t="s">
        <v>37</v>
      </c>
      <c r="Q20" s="212">
        <v>1</v>
      </c>
      <c r="R20" s="511">
        <v>750000</v>
      </c>
      <c r="S20" s="512" t="s">
        <v>38</v>
      </c>
      <c r="T20" s="512" t="s">
        <v>38</v>
      </c>
      <c r="U20" s="513" t="s">
        <v>39</v>
      </c>
      <c r="V20" s="249"/>
      <c r="W20" s="249"/>
    </row>
    <row r="21" spans="1:23" s="188" customFormat="1" ht="43.5">
      <c r="A21" s="504" t="s">
        <v>33</v>
      </c>
      <c r="B21" s="250">
        <v>43397</v>
      </c>
      <c r="C21" s="251" t="s">
        <v>1207</v>
      </c>
      <c r="D21" s="505" t="s">
        <v>137</v>
      </c>
      <c r="E21" s="506" t="s">
        <v>52</v>
      </c>
      <c r="F21" s="507" t="s">
        <v>53</v>
      </c>
      <c r="G21" s="210">
        <f t="shared" si="0"/>
        <v>0</v>
      </c>
      <c r="H21" s="211">
        <v>0</v>
      </c>
      <c r="I21" s="210">
        <f t="shared" si="1"/>
        <v>0</v>
      </c>
      <c r="J21" s="211">
        <v>0</v>
      </c>
      <c r="K21" s="210">
        <f t="shared" si="2"/>
        <v>0</v>
      </c>
      <c r="L21" s="508">
        <f t="shared" si="3"/>
        <v>0</v>
      </c>
      <c r="M21" s="509" t="s">
        <v>36</v>
      </c>
      <c r="N21" s="581" t="s">
        <v>1300</v>
      </c>
      <c r="O21" s="580" t="s">
        <v>1300</v>
      </c>
      <c r="P21" s="510" t="s">
        <v>37</v>
      </c>
      <c r="Q21" s="212">
        <v>1</v>
      </c>
      <c r="R21" s="511">
        <v>750000</v>
      </c>
      <c r="S21" s="512" t="s">
        <v>38</v>
      </c>
      <c r="T21" s="512" t="s">
        <v>38</v>
      </c>
      <c r="U21" s="513" t="s">
        <v>39</v>
      </c>
      <c r="V21" s="249"/>
      <c r="W21" s="249"/>
    </row>
    <row r="22" spans="1:23" s="188" customFormat="1" ht="28.5">
      <c r="A22" s="504" t="s">
        <v>33</v>
      </c>
      <c r="B22" s="250">
        <v>43130</v>
      </c>
      <c r="C22" s="251" t="s">
        <v>54</v>
      </c>
      <c r="D22" s="505" t="s">
        <v>137</v>
      </c>
      <c r="E22" s="506" t="s">
        <v>55</v>
      </c>
      <c r="F22" s="507" t="s">
        <v>56</v>
      </c>
      <c r="G22" s="210">
        <f t="shared" si="0"/>
        <v>771646.76</v>
      </c>
      <c r="H22" s="211">
        <f>I22</f>
        <v>771646.76</v>
      </c>
      <c r="I22" s="210">
        <f t="shared" si="1"/>
        <v>771646.76</v>
      </c>
      <c r="J22" s="211">
        <f>445000.03+167912.73+47500+32000+2500+76734</f>
        <v>771646.76</v>
      </c>
      <c r="K22" s="210">
        <f t="shared" si="2"/>
        <v>0</v>
      </c>
      <c r="L22" s="508">
        <f t="shared" si="3"/>
        <v>0</v>
      </c>
      <c r="M22" s="509" t="s">
        <v>57</v>
      </c>
      <c r="N22" s="578">
        <f t="shared" si="4"/>
        <v>1</v>
      </c>
      <c r="O22" s="578">
        <v>1</v>
      </c>
      <c r="P22" s="510" t="s">
        <v>37</v>
      </c>
      <c r="Q22" s="212">
        <v>1</v>
      </c>
      <c r="R22" s="511">
        <v>555000</v>
      </c>
      <c r="S22" s="512" t="s">
        <v>273</v>
      </c>
      <c r="T22" s="512" t="s">
        <v>273</v>
      </c>
      <c r="U22" s="513" t="s">
        <v>273</v>
      </c>
      <c r="V22" s="249"/>
      <c r="W22" s="249"/>
    </row>
    <row r="23" spans="1:23" s="188" customFormat="1" ht="57">
      <c r="A23" s="504" t="s">
        <v>33</v>
      </c>
      <c r="B23" s="250">
        <v>43354</v>
      </c>
      <c r="C23" s="251" t="s">
        <v>1208</v>
      </c>
      <c r="D23" s="505" t="s">
        <v>127</v>
      </c>
      <c r="E23" s="506" t="s">
        <v>128</v>
      </c>
      <c r="F23" s="507" t="s">
        <v>129</v>
      </c>
      <c r="G23" s="210">
        <f t="shared" si="0"/>
        <v>1220009.75</v>
      </c>
      <c r="H23" s="211">
        <v>1220009.75</v>
      </c>
      <c r="I23" s="210">
        <f t="shared" si="1"/>
        <v>1220009.75</v>
      </c>
      <c r="J23" s="211">
        <f>364375.53+832182.62+23451.6</f>
        <v>1220009.75</v>
      </c>
      <c r="K23" s="210">
        <f t="shared" si="2"/>
        <v>0</v>
      </c>
      <c r="L23" s="508">
        <f t="shared" si="3"/>
        <v>0</v>
      </c>
      <c r="M23" s="509" t="s">
        <v>57</v>
      </c>
      <c r="N23" s="578">
        <f t="shared" si="4"/>
        <v>1</v>
      </c>
      <c r="O23" s="578">
        <v>1</v>
      </c>
      <c r="P23" s="510" t="s">
        <v>63</v>
      </c>
      <c r="Q23" s="212">
        <v>8728</v>
      </c>
      <c r="R23" s="511">
        <v>797000</v>
      </c>
      <c r="S23" s="512" t="s">
        <v>70</v>
      </c>
      <c r="T23" s="512" t="s">
        <v>201</v>
      </c>
      <c r="U23" s="513" t="s">
        <v>202</v>
      </c>
      <c r="V23" s="249"/>
      <c r="W23" s="249"/>
    </row>
    <row r="24" spans="1:23" s="188" customFormat="1" ht="57">
      <c r="A24" s="504" t="s">
        <v>33</v>
      </c>
      <c r="B24" s="250">
        <v>43375</v>
      </c>
      <c r="C24" s="251" t="s">
        <v>1209</v>
      </c>
      <c r="D24" s="505" t="s">
        <v>127</v>
      </c>
      <c r="E24" s="506" t="s">
        <v>130</v>
      </c>
      <c r="F24" s="507" t="s">
        <v>131</v>
      </c>
      <c r="G24" s="210">
        <f t="shared" si="0"/>
        <v>1186599.92</v>
      </c>
      <c r="H24" s="211">
        <v>1186599.92</v>
      </c>
      <c r="I24" s="210">
        <f t="shared" si="1"/>
        <v>1186599.92</v>
      </c>
      <c r="J24" s="211">
        <f>356851.17+612358.14+217390.61</f>
        <v>1186599.92</v>
      </c>
      <c r="K24" s="210">
        <f t="shared" si="2"/>
        <v>0</v>
      </c>
      <c r="L24" s="508">
        <f t="shared" si="3"/>
        <v>0</v>
      </c>
      <c r="M24" s="509" t="s">
        <v>57</v>
      </c>
      <c r="N24" s="578">
        <f t="shared" si="4"/>
        <v>1</v>
      </c>
      <c r="O24" s="578">
        <v>1</v>
      </c>
      <c r="P24" s="510" t="s">
        <v>63</v>
      </c>
      <c r="Q24" s="212">
        <v>11138.21</v>
      </c>
      <c r="R24" s="511">
        <v>797000</v>
      </c>
      <c r="S24" s="512" t="s">
        <v>70</v>
      </c>
      <c r="T24" s="512" t="s">
        <v>203</v>
      </c>
      <c r="U24" s="513" t="s">
        <v>204</v>
      </c>
      <c r="V24" s="249"/>
      <c r="W24" s="249"/>
    </row>
    <row r="25" spans="1:23" s="188" customFormat="1" ht="57">
      <c r="A25" s="504" t="s">
        <v>33</v>
      </c>
      <c r="B25" s="250">
        <v>43375</v>
      </c>
      <c r="C25" s="251" t="s">
        <v>1210</v>
      </c>
      <c r="D25" s="505" t="s">
        <v>127</v>
      </c>
      <c r="E25" s="506" t="s">
        <v>132</v>
      </c>
      <c r="F25" s="507" t="s">
        <v>133</v>
      </c>
      <c r="G25" s="210">
        <f t="shared" si="0"/>
        <v>1209309.3600000001</v>
      </c>
      <c r="H25" s="211">
        <v>1209309.3600000001</v>
      </c>
      <c r="I25" s="210">
        <f t="shared" si="1"/>
        <v>1209309.3599999999</v>
      </c>
      <c r="J25" s="211">
        <f>365772.02+808785.38+34751.96</f>
        <v>1209309.3599999999</v>
      </c>
      <c r="K25" s="210">
        <f t="shared" si="2"/>
        <v>0</v>
      </c>
      <c r="L25" s="508">
        <f t="shared" si="3"/>
        <v>0</v>
      </c>
      <c r="M25" s="509" t="s">
        <v>57</v>
      </c>
      <c r="N25" s="578">
        <f t="shared" si="4"/>
        <v>0.99999999999999978</v>
      </c>
      <c r="O25" s="578">
        <v>1</v>
      </c>
      <c r="P25" s="510" t="s">
        <v>63</v>
      </c>
      <c r="Q25" s="212">
        <v>11453.14</v>
      </c>
      <c r="R25" s="511">
        <v>797000</v>
      </c>
      <c r="S25" s="512" t="s">
        <v>70</v>
      </c>
      <c r="T25" s="512" t="s">
        <v>274</v>
      </c>
      <c r="U25" s="513" t="s">
        <v>275</v>
      </c>
      <c r="V25" s="249"/>
      <c r="W25" s="249"/>
    </row>
    <row r="26" spans="1:23" s="188" customFormat="1" ht="71.25">
      <c r="A26" s="504" t="s">
        <v>33</v>
      </c>
      <c r="B26" s="250">
        <v>43354</v>
      </c>
      <c r="C26" s="251" t="s">
        <v>1211</v>
      </c>
      <c r="D26" s="505" t="s">
        <v>127</v>
      </c>
      <c r="E26" s="506" t="s">
        <v>134</v>
      </c>
      <c r="F26" s="507" t="s">
        <v>805</v>
      </c>
      <c r="G26" s="210">
        <f t="shared" si="0"/>
        <v>2064231.77</v>
      </c>
      <c r="H26" s="211">
        <v>2064231.77</v>
      </c>
      <c r="I26" s="210">
        <f t="shared" si="1"/>
        <v>2064231.77</v>
      </c>
      <c r="J26" s="211">
        <f>619269.53+1423439.33+21522.91</f>
        <v>2064231.77</v>
      </c>
      <c r="K26" s="210">
        <f t="shared" si="2"/>
        <v>0</v>
      </c>
      <c r="L26" s="508">
        <f t="shared" si="3"/>
        <v>0</v>
      </c>
      <c r="M26" s="509" t="s">
        <v>57</v>
      </c>
      <c r="N26" s="578">
        <f t="shared" si="4"/>
        <v>1</v>
      </c>
      <c r="O26" s="578">
        <v>1</v>
      </c>
      <c r="P26" s="510" t="s">
        <v>63</v>
      </c>
      <c r="Q26" s="212">
        <v>17313.240000000002</v>
      </c>
      <c r="R26" s="511">
        <v>200000</v>
      </c>
      <c r="S26" s="512" t="s">
        <v>76</v>
      </c>
      <c r="T26" s="512" t="s">
        <v>205</v>
      </c>
      <c r="U26" s="513" t="s">
        <v>206</v>
      </c>
      <c r="V26" s="249"/>
      <c r="W26" s="249"/>
    </row>
    <row r="27" spans="1:23" s="188" customFormat="1" ht="71.25">
      <c r="A27" s="504" t="s">
        <v>33</v>
      </c>
      <c r="B27" s="250">
        <v>43354</v>
      </c>
      <c r="C27" s="251" t="s">
        <v>1212</v>
      </c>
      <c r="D27" s="505" t="s">
        <v>127</v>
      </c>
      <c r="E27" s="506" t="s">
        <v>135</v>
      </c>
      <c r="F27" s="507" t="s">
        <v>136</v>
      </c>
      <c r="G27" s="210">
        <f t="shared" si="0"/>
        <v>2104721.37</v>
      </c>
      <c r="H27" s="211">
        <v>2104721.37</v>
      </c>
      <c r="I27" s="210">
        <f t="shared" si="1"/>
        <v>2104721.3699999996</v>
      </c>
      <c r="J27" s="211">
        <f>631416.41+1362389.14+110915.82</f>
        <v>2104721.3699999996</v>
      </c>
      <c r="K27" s="210">
        <f t="shared" si="2"/>
        <v>0</v>
      </c>
      <c r="L27" s="508">
        <f t="shared" si="3"/>
        <v>0</v>
      </c>
      <c r="M27" s="509" t="s">
        <v>57</v>
      </c>
      <c r="N27" s="578">
        <f t="shared" si="4"/>
        <v>0.99999999999999978</v>
      </c>
      <c r="O27" s="578">
        <v>1</v>
      </c>
      <c r="P27" s="510" t="s">
        <v>63</v>
      </c>
      <c r="Q27" s="212">
        <v>18779.27</v>
      </c>
      <c r="R27" s="511">
        <v>200000</v>
      </c>
      <c r="S27" s="512" t="s">
        <v>76</v>
      </c>
      <c r="T27" s="512" t="s">
        <v>207</v>
      </c>
      <c r="U27" s="513" t="s">
        <v>208</v>
      </c>
      <c r="V27" s="249"/>
      <c r="W27" s="249"/>
    </row>
    <row r="28" spans="1:23" s="188" customFormat="1" ht="42.75">
      <c r="A28" s="504" t="s">
        <v>33</v>
      </c>
      <c r="B28" s="250">
        <v>43437</v>
      </c>
      <c r="C28" s="251" t="s">
        <v>1005</v>
      </c>
      <c r="D28" s="505" t="s">
        <v>137</v>
      </c>
      <c r="E28" s="506" t="s">
        <v>138</v>
      </c>
      <c r="F28" s="507" t="s">
        <v>139</v>
      </c>
      <c r="G28" s="210">
        <f t="shared" si="0"/>
        <v>9466787</v>
      </c>
      <c r="H28" s="211">
        <v>9466787</v>
      </c>
      <c r="I28" s="210">
        <f t="shared" si="1"/>
        <v>9466786.7300000004</v>
      </c>
      <c r="J28" s="211">
        <f>1662740.72+465086.51+523511.91+582527.06+715173.1+781124.44+673499.82+1310771.72+2752351.45</f>
        <v>9466786.7300000004</v>
      </c>
      <c r="K28" s="210">
        <f t="shared" si="2"/>
        <v>0.26999999955296516</v>
      </c>
      <c r="L28" s="508">
        <f t="shared" si="3"/>
        <v>0.26999999955296516</v>
      </c>
      <c r="M28" s="509" t="s">
        <v>57</v>
      </c>
      <c r="N28" s="578">
        <f t="shared" si="4"/>
        <v>0.99999997147923581</v>
      </c>
      <c r="O28" s="578">
        <v>0.92320000000000002</v>
      </c>
      <c r="P28" s="510" t="s">
        <v>37</v>
      </c>
      <c r="Q28" s="212">
        <v>1</v>
      </c>
      <c r="R28" s="511">
        <v>797000</v>
      </c>
      <c r="S28" s="512" t="s">
        <v>273</v>
      </c>
      <c r="T28" s="512" t="s">
        <v>273</v>
      </c>
      <c r="U28" s="513" t="s">
        <v>273</v>
      </c>
      <c r="V28" s="249"/>
      <c r="W28" s="249"/>
    </row>
    <row r="29" spans="1:23" s="188" customFormat="1" ht="28.5">
      <c r="A29" s="504" t="s">
        <v>33</v>
      </c>
      <c r="B29" s="250">
        <v>43434</v>
      </c>
      <c r="C29" s="251" t="s">
        <v>1006</v>
      </c>
      <c r="D29" s="505" t="s">
        <v>137</v>
      </c>
      <c r="E29" s="506" t="s">
        <v>140</v>
      </c>
      <c r="F29" s="507" t="s">
        <v>35</v>
      </c>
      <c r="G29" s="210">
        <f t="shared" si="0"/>
        <v>12244369.549999999</v>
      </c>
      <c r="H29" s="211">
        <f t="shared" ref="H29:H34" si="5">I29</f>
        <v>12244369.549999999</v>
      </c>
      <c r="I29" s="210">
        <f t="shared" si="1"/>
        <v>12244369.549999999</v>
      </c>
      <c r="J29" s="211">
        <f>66441.18+622364.27+139375.98+339362.05+7582909.97+112238.74+47812.85+159153.03+115825.17+3058886.31</f>
        <v>12244369.549999999</v>
      </c>
      <c r="K29" s="210">
        <f t="shared" si="2"/>
        <v>0</v>
      </c>
      <c r="L29" s="508">
        <f t="shared" si="3"/>
        <v>0</v>
      </c>
      <c r="M29" s="509" t="s">
        <v>36</v>
      </c>
      <c r="N29" s="578">
        <f t="shared" si="4"/>
        <v>1</v>
      </c>
      <c r="O29" s="578">
        <v>0.94</v>
      </c>
      <c r="P29" s="510" t="s">
        <v>37</v>
      </c>
      <c r="Q29" s="212">
        <v>1</v>
      </c>
      <c r="R29" s="511">
        <v>797000</v>
      </c>
      <c r="S29" s="512" t="s">
        <v>38</v>
      </c>
      <c r="T29" s="512" t="s">
        <v>38</v>
      </c>
      <c r="U29" s="513" t="s">
        <v>39</v>
      </c>
      <c r="V29" s="249"/>
      <c r="W29" s="249"/>
    </row>
    <row r="30" spans="1:23" s="188" customFormat="1" ht="42.75">
      <c r="A30" s="504" t="s">
        <v>33</v>
      </c>
      <c r="B30" s="250">
        <v>43452</v>
      </c>
      <c r="C30" s="251" t="s">
        <v>1041</v>
      </c>
      <c r="D30" s="505" t="s">
        <v>137</v>
      </c>
      <c r="E30" s="506" t="s">
        <v>141</v>
      </c>
      <c r="F30" s="507" t="s">
        <v>142</v>
      </c>
      <c r="G30" s="210">
        <f t="shared" si="0"/>
        <v>2364158.19</v>
      </c>
      <c r="H30" s="211">
        <f t="shared" si="5"/>
        <v>2364158.19</v>
      </c>
      <c r="I30" s="210">
        <f t="shared" si="1"/>
        <v>2364158.19</v>
      </c>
      <c r="J30" s="211">
        <f>228091.89+384662.96+322140+677950.84+197552.98+309058.68+78491.03+6342.95+90836.9+69029.96</f>
        <v>2364158.19</v>
      </c>
      <c r="K30" s="210">
        <f t="shared" si="2"/>
        <v>0</v>
      </c>
      <c r="L30" s="508">
        <f t="shared" si="3"/>
        <v>0</v>
      </c>
      <c r="M30" s="509" t="s">
        <v>36</v>
      </c>
      <c r="N30" s="578">
        <f t="shared" si="4"/>
        <v>1</v>
      </c>
      <c r="O30" s="578">
        <v>0.9</v>
      </c>
      <c r="P30" s="510" t="s">
        <v>37</v>
      </c>
      <c r="Q30" s="212">
        <v>1</v>
      </c>
      <c r="R30" s="511">
        <v>797000</v>
      </c>
      <c r="S30" s="512" t="s">
        <v>38</v>
      </c>
      <c r="T30" s="512" t="s">
        <v>38</v>
      </c>
      <c r="U30" s="513" t="s">
        <v>39</v>
      </c>
      <c r="V30" s="249"/>
      <c r="W30" s="249"/>
    </row>
    <row r="31" spans="1:23" s="188" customFormat="1" ht="28.5">
      <c r="A31" s="504" t="s">
        <v>33</v>
      </c>
      <c r="B31" s="250">
        <v>43455</v>
      </c>
      <c r="C31" s="251" t="s">
        <v>1042</v>
      </c>
      <c r="D31" s="505" t="s">
        <v>137</v>
      </c>
      <c r="E31" s="506" t="s">
        <v>143</v>
      </c>
      <c r="F31" s="507" t="s">
        <v>144</v>
      </c>
      <c r="G31" s="210">
        <f t="shared" si="0"/>
        <v>21744908.640000001</v>
      </c>
      <c r="H31" s="211">
        <f t="shared" si="5"/>
        <v>21744908.640000001</v>
      </c>
      <c r="I31" s="210">
        <f t="shared" si="1"/>
        <v>21744908.640000001</v>
      </c>
      <c r="J31" s="211">
        <f>1181371.19+1485931.17+1682599.54+3131601.63+1568556.79+3586433.82+1668610.75+2677210.37+1504048.11+3258545.27</f>
        <v>21744908.640000001</v>
      </c>
      <c r="K31" s="210">
        <f t="shared" si="2"/>
        <v>0</v>
      </c>
      <c r="L31" s="508">
        <f t="shared" si="3"/>
        <v>0</v>
      </c>
      <c r="M31" s="509" t="s">
        <v>36</v>
      </c>
      <c r="N31" s="578">
        <v>0</v>
      </c>
      <c r="O31" s="578">
        <v>0.77</v>
      </c>
      <c r="P31" s="510" t="s">
        <v>37</v>
      </c>
      <c r="Q31" s="212">
        <v>1</v>
      </c>
      <c r="R31" s="511">
        <v>797000</v>
      </c>
      <c r="S31" s="512" t="s">
        <v>38</v>
      </c>
      <c r="T31" s="512" t="s">
        <v>38</v>
      </c>
      <c r="U31" s="513" t="s">
        <v>39</v>
      </c>
      <c r="V31" s="249"/>
      <c r="W31" s="249"/>
    </row>
    <row r="32" spans="1:23" s="188" customFormat="1" ht="28.5">
      <c r="A32" s="504" t="s">
        <v>33</v>
      </c>
      <c r="B32" s="250">
        <v>43452</v>
      </c>
      <c r="C32" s="251" t="s">
        <v>1007</v>
      </c>
      <c r="D32" s="505" t="s">
        <v>137</v>
      </c>
      <c r="E32" s="506" t="s">
        <v>145</v>
      </c>
      <c r="F32" s="507" t="s">
        <v>146</v>
      </c>
      <c r="G32" s="210">
        <f t="shared" si="0"/>
        <v>1647008.2099999997</v>
      </c>
      <c r="H32" s="211">
        <f t="shared" si="5"/>
        <v>1647008.2099999997</v>
      </c>
      <c r="I32" s="210">
        <f t="shared" si="1"/>
        <v>1647008.2099999997</v>
      </c>
      <c r="J32" s="211">
        <f>148172.35+151503.49+162241.99+480206.04+242541.22+204709.31+159980.4+10092.25+11538.89+76022.27</f>
        <v>1647008.2099999997</v>
      </c>
      <c r="K32" s="210">
        <f t="shared" si="2"/>
        <v>0</v>
      </c>
      <c r="L32" s="508">
        <f t="shared" si="3"/>
        <v>0</v>
      </c>
      <c r="M32" s="509" t="s">
        <v>36</v>
      </c>
      <c r="N32" s="578">
        <f t="shared" si="4"/>
        <v>1</v>
      </c>
      <c r="O32" s="578">
        <v>1.03</v>
      </c>
      <c r="P32" s="510" t="s">
        <v>37</v>
      </c>
      <c r="Q32" s="212">
        <v>1</v>
      </c>
      <c r="R32" s="511">
        <v>797000</v>
      </c>
      <c r="S32" s="512" t="s">
        <v>38</v>
      </c>
      <c r="T32" s="512" t="s">
        <v>38</v>
      </c>
      <c r="U32" s="513" t="s">
        <v>39</v>
      </c>
      <c r="V32" s="249"/>
      <c r="W32" s="249"/>
    </row>
    <row r="33" spans="1:16384" s="188" customFormat="1" ht="28.5">
      <c r="A33" s="504" t="s">
        <v>33</v>
      </c>
      <c r="B33" s="250">
        <v>43455</v>
      </c>
      <c r="C33" s="251" t="s">
        <v>1043</v>
      </c>
      <c r="D33" s="505" t="s">
        <v>137</v>
      </c>
      <c r="E33" s="506" t="s">
        <v>147</v>
      </c>
      <c r="F33" s="507" t="s">
        <v>148</v>
      </c>
      <c r="G33" s="210">
        <f t="shared" si="0"/>
        <v>688232.76</v>
      </c>
      <c r="H33" s="211">
        <f t="shared" si="5"/>
        <v>688232.76</v>
      </c>
      <c r="I33" s="210">
        <f t="shared" si="1"/>
        <v>688232.76</v>
      </c>
      <c r="J33" s="211">
        <f>35717.05+33753+49858.05+94730.65+92432.76+59303.49+50877.42+3254.54+32317.6+235988.2</f>
        <v>688232.76</v>
      </c>
      <c r="K33" s="210">
        <f t="shared" si="2"/>
        <v>0</v>
      </c>
      <c r="L33" s="508">
        <f t="shared" si="3"/>
        <v>0</v>
      </c>
      <c r="M33" s="509" t="s">
        <v>36</v>
      </c>
      <c r="N33" s="578">
        <f t="shared" si="4"/>
        <v>1</v>
      </c>
      <c r="O33" s="578">
        <v>0.50460000000000005</v>
      </c>
      <c r="P33" s="510" t="s">
        <v>37</v>
      </c>
      <c r="Q33" s="212">
        <v>1</v>
      </c>
      <c r="R33" s="511">
        <v>797000</v>
      </c>
      <c r="S33" s="512" t="s">
        <v>38</v>
      </c>
      <c r="T33" s="512" t="s">
        <v>38</v>
      </c>
      <c r="U33" s="513" t="s">
        <v>39</v>
      </c>
      <c r="V33" s="249"/>
      <c r="W33" s="249"/>
    </row>
    <row r="34" spans="1:16384" s="188" customFormat="1" ht="28.5">
      <c r="A34" s="504" t="s">
        <v>33</v>
      </c>
      <c r="B34" s="250">
        <v>43437</v>
      </c>
      <c r="C34" s="251" t="s">
        <v>1008</v>
      </c>
      <c r="D34" s="505" t="s">
        <v>149</v>
      </c>
      <c r="E34" s="506" t="s">
        <v>150</v>
      </c>
      <c r="F34" s="507" t="s">
        <v>49</v>
      </c>
      <c r="G34" s="210">
        <f t="shared" si="0"/>
        <v>1593364.76</v>
      </c>
      <c r="H34" s="211">
        <f t="shared" si="5"/>
        <v>1593364.76</v>
      </c>
      <c r="I34" s="210">
        <f t="shared" si="1"/>
        <v>1593364.76</v>
      </c>
      <c r="J34" s="211">
        <f>37395.85+414744.34+160096.18+326981.96+244144.2+153169.1+132150.64+45696.64+78985.85</f>
        <v>1593364.76</v>
      </c>
      <c r="K34" s="210">
        <f t="shared" si="2"/>
        <v>0</v>
      </c>
      <c r="L34" s="508">
        <f t="shared" si="3"/>
        <v>0</v>
      </c>
      <c r="M34" s="509" t="s">
        <v>36</v>
      </c>
      <c r="N34" s="578">
        <f t="shared" si="4"/>
        <v>1</v>
      </c>
      <c r="O34" s="578">
        <v>0.85899999999999999</v>
      </c>
      <c r="P34" s="510" t="s">
        <v>37</v>
      </c>
      <c r="Q34" s="212">
        <v>1</v>
      </c>
      <c r="R34" s="511">
        <v>797000</v>
      </c>
      <c r="S34" s="512" t="s">
        <v>38</v>
      </c>
      <c r="T34" s="512" t="s">
        <v>38</v>
      </c>
      <c r="U34" s="513" t="s">
        <v>39</v>
      </c>
      <c r="V34" s="249"/>
      <c r="W34" s="249"/>
    </row>
    <row r="35" spans="1:16384" s="188" customFormat="1" ht="42.75">
      <c r="A35" s="504" t="s">
        <v>33</v>
      </c>
      <c r="B35" s="250">
        <v>43461</v>
      </c>
      <c r="C35" s="251" t="s">
        <v>1044</v>
      </c>
      <c r="D35" s="505" t="s">
        <v>127</v>
      </c>
      <c r="E35" s="506" t="s">
        <v>151</v>
      </c>
      <c r="F35" s="507" t="s">
        <v>152</v>
      </c>
      <c r="G35" s="210">
        <f t="shared" si="0"/>
        <v>26389613.07</v>
      </c>
      <c r="H35" s="211">
        <v>26389613.07</v>
      </c>
      <c r="I35" s="210">
        <f t="shared" si="1"/>
        <v>26389613.070000004</v>
      </c>
      <c r="J35" s="211">
        <f>714847.07+2432033.52+1251764.48+3092311.24+2287304.09+3393633.39+1960880.98+4703783.1+1592688.83+4960366.37</f>
        <v>26389613.070000004</v>
      </c>
      <c r="K35" s="210">
        <f t="shared" si="2"/>
        <v>0</v>
      </c>
      <c r="L35" s="508">
        <f t="shared" si="3"/>
        <v>0</v>
      </c>
      <c r="M35" s="509" t="s">
        <v>36</v>
      </c>
      <c r="N35" s="578">
        <f t="shared" si="4"/>
        <v>1.0000000000000002</v>
      </c>
      <c r="O35" s="578">
        <v>0.62</v>
      </c>
      <c r="P35" s="510" t="s">
        <v>37</v>
      </c>
      <c r="Q35" s="212">
        <v>1</v>
      </c>
      <c r="R35" s="511">
        <v>797000</v>
      </c>
      <c r="S35" s="512" t="s">
        <v>38</v>
      </c>
      <c r="T35" s="512" t="s">
        <v>38</v>
      </c>
      <c r="U35" s="513" t="s">
        <v>39</v>
      </c>
      <c r="V35" s="249"/>
      <c r="W35" s="249"/>
    </row>
    <row r="36" spans="1:16384" s="188" customFormat="1" ht="42.75">
      <c r="A36" s="504" t="s">
        <v>33</v>
      </c>
      <c r="B36" s="250">
        <v>43453</v>
      </c>
      <c r="C36" s="251" t="s">
        <v>1045</v>
      </c>
      <c r="D36" s="505" t="s">
        <v>127</v>
      </c>
      <c r="E36" s="506" t="s">
        <v>153</v>
      </c>
      <c r="F36" s="507" t="s">
        <v>51</v>
      </c>
      <c r="G36" s="210">
        <f t="shared" si="0"/>
        <v>7302836.9400000004</v>
      </c>
      <c r="H36" s="211">
        <v>7302836.9400000004</v>
      </c>
      <c r="I36" s="210">
        <f t="shared" si="1"/>
        <v>7302836.9400000004</v>
      </c>
      <c r="J36" s="211">
        <f>188811.37+815472.58+532289.65+522378.36+194075.81+521658.46+1946739.05+235316.91+1166292.61+1179802.14</f>
        <v>7302836.9400000004</v>
      </c>
      <c r="K36" s="210">
        <f t="shared" si="2"/>
        <v>0</v>
      </c>
      <c r="L36" s="508">
        <f t="shared" si="3"/>
        <v>0</v>
      </c>
      <c r="M36" s="509" t="s">
        <v>36</v>
      </c>
      <c r="N36" s="578">
        <f t="shared" si="4"/>
        <v>1</v>
      </c>
      <c r="O36" s="578">
        <v>0.67230000000000001</v>
      </c>
      <c r="P36" s="510" t="s">
        <v>37</v>
      </c>
      <c r="Q36" s="212">
        <v>1</v>
      </c>
      <c r="R36" s="511">
        <v>797000</v>
      </c>
      <c r="S36" s="512" t="s">
        <v>38</v>
      </c>
      <c r="T36" s="512" t="s">
        <v>38</v>
      </c>
      <c r="U36" s="513" t="s">
        <v>39</v>
      </c>
      <c r="V36" s="249"/>
      <c r="W36" s="249"/>
    </row>
    <row r="37" spans="1:16384" s="188" customFormat="1" ht="42.75">
      <c r="A37" s="504" t="s">
        <v>33</v>
      </c>
      <c r="B37" s="250">
        <v>43455</v>
      </c>
      <c r="C37" s="251" t="s">
        <v>1046</v>
      </c>
      <c r="D37" s="505" t="s">
        <v>137</v>
      </c>
      <c r="E37" s="506" t="s">
        <v>154</v>
      </c>
      <c r="F37" s="507" t="s">
        <v>155</v>
      </c>
      <c r="G37" s="210">
        <f t="shared" si="0"/>
        <v>2904064.55</v>
      </c>
      <c r="H37" s="211">
        <f>I37</f>
        <v>2904064.55</v>
      </c>
      <c r="I37" s="210">
        <f t="shared" si="1"/>
        <v>2904064.55</v>
      </c>
      <c r="J37" s="211">
        <f>55691.98+136105.65+57832.93+143103.46+415850.92+468031.13+997707.39+63455.56+506645.75+59639.78</f>
        <v>2904064.55</v>
      </c>
      <c r="K37" s="210">
        <f t="shared" si="2"/>
        <v>0</v>
      </c>
      <c r="L37" s="508">
        <f t="shared" si="3"/>
        <v>0</v>
      </c>
      <c r="M37" s="509" t="s">
        <v>36</v>
      </c>
      <c r="N37" s="578">
        <f t="shared" si="4"/>
        <v>1</v>
      </c>
      <c r="O37" s="578">
        <v>0.27</v>
      </c>
      <c r="P37" s="510" t="s">
        <v>37</v>
      </c>
      <c r="Q37" s="212">
        <v>1</v>
      </c>
      <c r="R37" s="511">
        <v>797000</v>
      </c>
      <c r="S37" s="512" t="s">
        <v>38</v>
      </c>
      <c r="T37" s="512" t="s">
        <v>38</v>
      </c>
      <c r="U37" s="513" t="s">
        <v>39</v>
      </c>
      <c r="V37" s="249"/>
      <c r="W37" s="249"/>
    </row>
    <row r="38" spans="1:16384" s="601" customFormat="1" ht="57.75">
      <c r="A38" s="504" t="s">
        <v>156</v>
      </c>
      <c r="B38" s="250">
        <v>43448</v>
      </c>
      <c r="C38" s="251" t="s">
        <v>1047</v>
      </c>
      <c r="D38" s="600" t="s">
        <v>127</v>
      </c>
      <c r="E38" s="506" t="s">
        <v>157</v>
      </c>
      <c r="F38" s="507" t="s">
        <v>1316</v>
      </c>
      <c r="G38" s="210">
        <f>H38</f>
        <v>2993891.46</v>
      </c>
      <c r="H38" s="211">
        <v>2993891.46</v>
      </c>
      <c r="I38" s="210">
        <f t="shared" si="1"/>
        <v>2076628.73</v>
      </c>
      <c r="J38" s="211">
        <f>54292.45+144216.68+244114.42+659343.22+119791.61+152908.55+68485.51+201383.93+128054.47+304037.89</f>
        <v>2076628.73</v>
      </c>
      <c r="K38" s="210">
        <f t="shared" si="2"/>
        <v>917262.73</v>
      </c>
      <c r="L38" s="508">
        <f t="shared" si="3"/>
        <v>917262.73</v>
      </c>
      <c r="M38" s="509" t="s">
        <v>36</v>
      </c>
      <c r="N38" s="578">
        <v>0.43919999999999998</v>
      </c>
      <c r="O38" s="578">
        <v>0.58450000000000002</v>
      </c>
      <c r="P38" s="510" t="s">
        <v>37</v>
      </c>
      <c r="Q38" s="212">
        <v>1</v>
      </c>
      <c r="R38" s="511">
        <v>600000</v>
      </c>
      <c r="S38" s="512" t="s">
        <v>38</v>
      </c>
      <c r="T38" s="512" t="s">
        <v>38</v>
      </c>
      <c r="U38" s="513" t="s">
        <v>39</v>
      </c>
      <c r="V38" s="249"/>
      <c r="W38" s="249"/>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188"/>
      <c r="ID38" s="188"/>
      <c r="IE38" s="188"/>
      <c r="IF38" s="188"/>
      <c r="IG38" s="188"/>
      <c r="IH38" s="188"/>
      <c r="II38" s="188"/>
      <c r="IJ38" s="188"/>
      <c r="IK38" s="188"/>
      <c r="IL38" s="188"/>
      <c r="IM38" s="188"/>
      <c r="IN38" s="188"/>
      <c r="IO38" s="188"/>
      <c r="IP38" s="188"/>
      <c r="IQ38" s="188"/>
      <c r="IR38" s="188"/>
      <c r="IS38" s="188"/>
      <c r="IT38" s="188"/>
      <c r="IU38" s="188"/>
      <c r="IV38" s="188"/>
      <c r="IW38" s="188"/>
      <c r="IX38" s="188"/>
      <c r="IY38" s="188"/>
      <c r="IZ38" s="188"/>
      <c r="JC38" s="188"/>
      <c r="JF38" s="188"/>
      <c r="JI38" s="188"/>
      <c r="JJ38" s="188"/>
      <c r="JK38" s="188"/>
      <c r="JL38" s="188"/>
      <c r="JM38" s="188"/>
      <c r="JN38" s="188"/>
      <c r="JO38" s="188"/>
      <c r="JP38" s="188"/>
      <c r="JQ38" s="188"/>
      <c r="JS38" s="188"/>
      <c r="JT38" s="188"/>
      <c r="JU38" s="188"/>
      <c r="JV38" s="188"/>
      <c r="JW38" s="188"/>
      <c r="JX38" s="188"/>
      <c r="JY38" s="188"/>
      <c r="JZ38" s="188"/>
      <c r="KA38" s="188"/>
      <c r="KB38" s="188"/>
      <c r="KC38" s="188"/>
      <c r="KD38" s="188"/>
      <c r="KE38" s="188"/>
      <c r="KF38" s="188"/>
      <c r="KG38" s="188"/>
      <c r="KH38" s="188"/>
      <c r="KI38" s="188"/>
      <c r="KJ38" s="188"/>
      <c r="KK38" s="188"/>
      <c r="KL38" s="188"/>
      <c r="KM38" s="188"/>
      <c r="KN38" s="188"/>
      <c r="KO38" s="188"/>
      <c r="KP38" s="188"/>
      <c r="KQ38" s="188"/>
      <c r="KR38" s="188"/>
      <c r="KS38" s="188"/>
      <c r="KT38" s="188"/>
      <c r="KU38" s="188"/>
      <c r="KV38" s="188"/>
      <c r="KW38" s="188"/>
      <c r="KX38" s="188"/>
      <c r="KY38" s="188"/>
      <c r="KZ38" s="188"/>
      <c r="LA38" s="188"/>
      <c r="LB38" s="188"/>
      <c r="LC38" s="188"/>
      <c r="LD38" s="188"/>
      <c r="LE38" s="188"/>
      <c r="LF38" s="188"/>
      <c r="LG38" s="188"/>
      <c r="LH38" s="188"/>
      <c r="LI38" s="188"/>
      <c r="LJ38" s="188"/>
      <c r="LK38" s="188"/>
      <c r="LL38" s="188"/>
      <c r="LM38" s="188"/>
      <c r="LN38" s="188"/>
      <c r="LO38" s="188"/>
      <c r="LP38" s="188"/>
      <c r="LQ38" s="188"/>
      <c r="LR38" s="188"/>
      <c r="LS38" s="188"/>
      <c r="LT38" s="188"/>
      <c r="LU38" s="188"/>
      <c r="LV38" s="188"/>
      <c r="LW38" s="188"/>
      <c r="LX38" s="188"/>
      <c r="LY38" s="188"/>
      <c r="LZ38" s="188"/>
      <c r="MA38" s="188"/>
      <c r="MB38" s="188"/>
      <c r="MC38" s="188"/>
      <c r="MD38" s="188"/>
      <c r="ME38" s="188"/>
      <c r="MF38" s="188"/>
      <c r="MG38" s="188"/>
      <c r="MH38" s="188"/>
      <c r="MI38" s="188"/>
      <c r="MJ38" s="188"/>
      <c r="MK38" s="188"/>
      <c r="ML38" s="188"/>
      <c r="MM38" s="188"/>
      <c r="MN38" s="188"/>
      <c r="MO38" s="188"/>
      <c r="MP38" s="188"/>
      <c r="MQ38" s="188"/>
      <c r="MR38" s="188"/>
      <c r="MS38" s="188"/>
      <c r="MT38" s="188"/>
      <c r="MU38" s="188"/>
      <c r="MV38" s="188"/>
      <c r="MW38" s="188"/>
      <c r="MX38" s="188"/>
      <c r="MY38" s="188"/>
      <c r="MZ38" s="188"/>
      <c r="NA38" s="188"/>
      <c r="NB38" s="188"/>
      <c r="NC38" s="188"/>
      <c r="ND38" s="188"/>
      <c r="NE38" s="188"/>
      <c r="NF38" s="188"/>
      <c r="NG38" s="188"/>
      <c r="NH38" s="188"/>
      <c r="NI38" s="188"/>
      <c r="NJ38" s="188"/>
      <c r="NK38" s="188"/>
      <c r="NL38" s="188"/>
      <c r="NM38" s="188"/>
      <c r="NN38" s="188"/>
      <c r="NO38" s="188"/>
      <c r="NP38" s="188"/>
      <c r="NQ38" s="188"/>
      <c r="NR38" s="188"/>
      <c r="NS38" s="188"/>
      <c r="NT38" s="188"/>
      <c r="NU38" s="188"/>
      <c r="NV38" s="188"/>
      <c r="NW38" s="188"/>
      <c r="NX38" s="188"/>
      <c r="NY38" s="188"/>
      <c r="NZ38" s="188"/>
      <c r="OA38" s="188"/>
      <c r="OB38" s="188"/>
      <c r="OC38" s="188"/>
      <c r="OD38" s="188"/>
      <c r="OE38" s="188"/>
      <c r="OF38" s="188"/>
      <c r="OG38" s="188"/>
      <c r="OH38" s="188"/>
      <c r="OI38" s="188"/>
      <c r="OJ38" s="188"/>
      <c r="OK38" s="188"/>
      <c r="OL38" s="188"/>
      <c r="OM38" s="188"/>
      <c r="ON38" s="188"/>
      <c r="OO38" s="188"/>
      <c r="OP38" s="188"/>
      <c r="OQ38" s="188"/>
      <c r="OR38" s="188"/>
      <c r="OS38" s="188"/>
      <c r="OT38" s="188"/>
      <c r="OU38" s="188"/>
      <c r="OV38" s="188"/>
      <c r="OW38" s="188"/>
      <c r="OX38" s="188"/>
      <c r="OY38" s="188"/>
      <c r="OZ38" s="188"/>
      <c r="PA38" s="188"/>
      <c r="PB38" s="188"/>
      <c r="PC38" s="188"/>
      <c r="PD38" s="188"/>
      <c r="PE38" s="188"/>
      <c r="PF38" s="188"/>
      <c r="PG38" s="188"/>
      <c r="PH38" s="188"/>
      <c r="PI38" s="188"/>
      <c r="PJ38" s="188"/>
      <c r="PK38" s="188"/>
      <c r="PL38" s="188"/>
      <c r="PM38" s="188"/>
      <c r="PN38" s="188"/>
      <c r="PO38" s="188"/>
      <c r="PP38" s="188"/>
      <c r="PQ38" s="188"/>
      <c r="PR38" s="188"/>
      <c r="PS38" s="188"/>
      <c r="PT38" s="188"/>
      <c r="PU38" s="188"/>
      <c r="PV38" s="188"/>
      <c r="PW38" s="188"/>
      <c r="PX38" s="188"/>
      <c r="PY38" s="188"/>
      <c r="PZ38" s="188"/>
      <c r="QA38" s="188"/>
      <c r="QB38" s="188"/>
      <c r="QC38" s="188"/>
      <c r="QD38" s="188"/>
      <c r="QE38" s="188"/>
      <c r="QF38" s="188"/>
      <c r="QG38" s="188"/>
      <c r="QH38" s="188"/>
      <c r="QI38" s="188"/>
      <c r="QJ38" s="188"/>
      <c r="QK38" s="188"/>
      <c r="QL38" s="188"/>
      <c r="QM38" s="188"/>
      <c r="QN38" s="188"/>
      <c r="QO38" s="188"/>
      <c r="QP38" s="188"/>
      <c r="QQ38" s="188"/>
      <c r="QR38" s="188"/>
      <c r="QS38" s="188"/>
      <c r="QT38" s="188"/>
      <c r="QU38" s="188"/>
      <c r="QV38" s="188"/>
      <c r="QW38" s="188"/>
      <c r="QX38" s="188"/>
      <c r="QY38" s="188"/>
      <c r="QZ38" s="188"/>
      <c r="RA38" s="188"/>
      <c r="RB38" s="188"/>
      <c r="RC38" s="188"/>
      <c r="RD38" s="188"/>
      <c r="RE38" s="188"/>
      <c r="RF38" s="188"/>
      <c r="RG38" s="188"/>
      <c r="RH38" s="188"/>
      <c r="RI38" s="188"/>
      <c r="RJ38" s="188"/>
      <c r="RK38" s="188"/>
      <c r="RL38" s="188"/>
      <c r="RM38" s="188"/>
      <c r="RN38" s="188"/>
      <c r="RO38" s="188"/>
      <c r="RP38" s="188"/>
      <c r="RQ38" s="188"/>
      <c r="RR38" s="188"/>
      <c r="RS38" s="188"/>
      <c r="RT38" s="188"/>
      <c r="RU38" s="188"/>
      <c r="RV38" s="188"/>
      <c r="RW38" s="188"/>
      <c r="RX38" s="188"/>
      <c r="RY38" s="188"/>
      <c r="RZ38" s="188"/>
      <c r="SA38" s="188"/>
      <c r="SB38" s="188"/>
      <c r="SC38" s="188"/>
      <c r="SD38" s="188"/>
      <c r="SE38" s="188"/>
      <c r="SF38" s="188"/>
      <c r="SG38" s="188"/>
      <c r="SH38" s="188"/>
      <c r="SI38" s="188"/>
      <c r="SJ38" s="188"/>
      <c r="SK38" s="188"/>
      <c r="SL38" s="188"/>
      <c r="SM38" s="188"/>
      <c r="SN38" s="188"/>
      <c r="SO38" s="188"/>
      <c r="SP38" s="188"/>
      <c r="SQ38" s="188"/>
      <c r="SR38" s="188"/>
      <c r="SS38" s="188"/>
      <c r="ST38" s="188"/>
      <c r="SU38" s="188"/>
      <c r="SV38" s="188"/>
      <c r="SY38" s="188"/>
      <c r="TB38" s="188"/>
      <c r="TE38" s="188"/>
      <c r="TF38" s="188"/>
      <c r="TG38" s="188"/>
      <c r="TH38" s="188"/>
      <c r="TI38" s="188"/>
      <c r="TJ38" s="188"/>
      <c r="TK38" s="188"/>
      <c r="TL38" s="188"/>
      <c r="TM38" s="188"/>
      <c r="TO38" s="188"/>
      <c r="TP38" s="188"/>
      <c r="TQ38" s="188"/>
      <c r="TR38" s="188"/>
      <c r="TS38" s="188"/>
      <c r="TT38" s="188"/>
      <c r="TU38" s="188"/>
      <c r="TV38" s="188"/>
      <c r="TW38" s="188"/>
      <c r="TX38" s="188"/>
      <c r="TY38" s="188"/>
      <c r="TZ38" s="188"/>
      <c r="UA38" s="188"/>
      <c r="UB38" s="188"/>
      <c r="UC38" s="188"/>
      <c r="UD38" s="188"/>
      <c r="UE38" s="188"/>
      <c r="UF38" s="188"/>
      <c r="UG38" s="188"/>
      <c r="UH38" s="188"/>
      <c r="UI38" s="188"/>
      <c r="UJ38" s="188"/>
      <c r="UK38" s="188"/>
      <c r="UL38" s="188"/>
      <c r="UM38" s="188"/>
      <c r="UN38" s="188"/>
      <c r="UO38" s="188"/>
      <c r="UP38" s="188"/>
      <c r="UQ38" s="188"/>
      <c r="UR38" s="188"/>
      <c r="US38" s="188"/>
      <c r="UT38" s="188"/>
      <c r="UU38" s="188"/>
      <c r="UV38" s="188"/>
      <c r="UW38" s="188"/>
      <c r="UX38" s="188"/>
      <c r="UY38" s="188"/>
      <c r="UZ38" s="188"/>
      <c r="VA38" s="188"/>
      <c r="VB38" s="188"/>
      <c r="VC38" s="188"/>
      <c r="VD38" s="188"/>
      <c r="VE38" s="188"/>
      <c r="VF38" s="188"/>
      <c r="VG38" s="188"/>
      <c r="VH38" s="188"/>
      <c r="VI38" s="188"/>
      <c r="VJ38" s="188"/>
      <c r="VK38" s="188"/>
      <c r="VL38" s="188"/>
      <c r="VM38" s="188"/>
      <c r="VN38" s="188"/>
      <c r="VO38" s="188"/>
      <c r="VP38" s="188"/>
      <c r="VQ38" s="188"/>
      <c r="VR38" s="188"/>
      <c r="VS38" s="188"/>
      <c r="VT38" s="188"/>
      <c r="VU38" s="188"/>
      <c r="VV38" s="188"/>
      <c r="VW38" s="188"/>
      <c r="VX38" s="188"/>
      <c r="VY38" s="188"/>
      <c r="VZ38" s="188"/>
      <c r="WA38" s="188"/>
      <c r="WB38" s="188"/>
      <c r="WC38" s="188"/>
      <c r="WD38" s="188"/>
      <c r="WE38" s="188"/>
      <c r="WF38" s="188"/>
      <c r="WG38" s="188"/>
      <c r="WH38" s="188"/>
      <c r="WI38" s="188"/>
      <c r="WJ38" s="188"/>
      <c r="WK38" s="188"/>
      <c r="WL38" s="188"/>
      <c r="WM38" s="188"/>
      <c r="WN38" s="188"/>
      <c r="WO38" s="188"/>
      <c r="WP38" s="188"/>
      <c r="WQ38" s="188"/>
      <c r="WR38" s="188"/>
      <c r="WS38" s="188"/>
      <c r="WT38" s="188"/>
      <c r="WU38" s="188"/>
      <c r="WV38" s="188"/>
      <c r="WW38" s="188"/>
      <c r="WX38" s="188"/>
      <c r="WY38" s="188"/>
      <c r="WZ38" s="188"/>
      <c r="XA38" s="188"/>
      <c r="XB38" s="188"/>
      <c r="XC38" s="188"/>
      <c r="XD38" s="188"/>
      <c r="XE38" s="188"/>
      <c r="XF38" s="188"/>
      <c r="XG38" s="188"/>
      <c r="XH38" s="188"/>
      <c r="XI38" s="188"/>
      <c r="XJ38" s="188"/>
      <c r="XK38" s="188"/>
      <c r="XL38" s="188"/>
      <c r="XM38" s="188"/>
      <c r="XN38" s="188"/>
      <c r="XO38" s="188"/>
      <c r="XP38" s="188"/>
      <c r="XQ38" s="188"/>
      <c r="XR38" s="188"/>
      <c r="XS38" s="188"/>
      <c r="XT38" s="188"/>
      <c r="XU38" s="188"/>
      <c r="XV38" s="188"/>
      <c r="XW38" s="188"/>
      <c r="XX38" s="188"/>
      <c r="XY38" s="188"/>
      <c r="XZ38" s="188"/>
      <c r="YA38" s="188"/>
      <c r="YB38" s="188"/>
      <c r="YC38" s="188"/>
      <c r="YD38" s="188"/>
      <c r="YE38" s="188"/>
      <c r="YF38" s="188"/>
      <c r="YG38" s="188"/>
      <c r="YH38" s="188"/>
      <c r="YI38" s="188"/>
      <c r="YJ38" s="188"/>
      <c r="YK38" s="188"/>
      <c r="YL38" s="188"/>
      <c r="YM38" s="188"/>
      <c r="YN38" s="188"/>
      <c r="YO38" s="188"/>
      <c r="YP38" s="188"/>
      <c r="YQ38" s="188"/>
      <c r="YR38" s="188"/>
      <c r="YS38" s="188"/>
      <c r="YT38" s="188"/>
      <c r="YU38" s="188"/>
      <c r="YV38" s="188"/>
      <c r="YW38" s="188"/>
      <c r="YX38" s="188"/>
      <c r="YY38" s="188"/>
      <c r="YZ38" s="188"/>
      <c r="ZA38" s="188"/>
      <c r="ZB38" s="188"/>
      <c r="ZC38" s="188"/>
      <c r="ZD38" s="188"/>
      <c r="ZE38" s="188"/>
      <c r="ZF38" s="188"/>
      <c r="ZG38" s="188"/>
      <c r="ZH38" s="188"/>
      <c r="ZI38" s="188"/>
      <c r="ZJ38" s="188"/>
      <c r="ZK38" s="188"/>
      <c r="ZL38" s="188"/>
      <c r="ZM38" s="188"/>
      <c r="ZN38" s="188"/>
      <c r="ZO38" s="188"/>
      <c r="ZP38" s="188"/>
      <c r="ZQ38" s="188"/>
      <c r="ZR38" s="188"/>
      <c r="ZS38" s="188"/>
      <c r="ZT38" s="188"/>
      <c r="ZU38" s="188"/>
      <c r="ZV38" s="188"/>
      <c r="ZW38" s="188"/>
      <c r="ZX38" s="188"/>
      <c r="ZY38" s="188"/>
      <c r="ZZ38" s="188"/>
      <c r="AAA38" s="188"/>
      <c r="AAB38" s="188"/>
      <c r="AAC38" s="188"/>
      <c r="AAD38" s="188"/>
      <c r="AAE38" s="188"/>
      <c r="AAF38" s="188"/>
      <c r="AAG38" s="188"/>
      <c r="AAH38" s="188"/>
      <c r="AAI38" s="188"/>
      <c r="AAJ38" s="188"/>
      <c r="AAK38" s="188"/>
      <c r="AAL38" s="188"/>
      <c r="AAM38" s="188"/>
      <c r="AAN38" s="188"/>
      <c r="AAO38" s="188"/>
      <c r="AAP38" s="188"/>
      <c r="AAQ38" s="188"/>
      <c r="AAR38" s="188"/>
      <c r="AAS38" s="188"/>
      <c r="AAT38" s="188"/>
      <c r="AAU38" s="188"/>
      <c r="AAV38" s="188"/>
      <c r="AAW38" s="188"/>
      <c r="AAX38" s="188"/>
      <c r="AAY38" s="188"/>
      <c r="AAZ38" s="188"/>
      <c r="ABA38" s="188"/>
      <c r="ABB38" s="188"/>
      <c r="ABC38" s="188"/>
      <c r="ABD38" s="188"/>
      <c r="ABE38" s="188"/>
      <c r="ABF38" s="188"/>
      <c r="ABG38" s="188"/>
      <c r="ABH38" s="188"/>
      <c r="ABI38" s="188"/>
      <c r="ABJ38" s="188"/>
      <c r="ABK38" s="188"/>
      <c r="ABL38" s="188"/>
      <c r="ABM38" s="188"/>
      <c r="ABN38" s="188"/>
      <c r="ABO38" s="188"/>
      <c r="ABP38" s="188"/>
      <c r="ABQ38" s="188"/>
      <c r="ABR38" s="188"/>
      <c r="ABS38" s="188"/>
      <c r="ABT38" s="188"/>
      <c r="ABU38" s="188"/>
      <c r="ABV38" s="188"/>
      <c r="ABW38" s="188"/>
      <c r="ABX38" s="188"/>
      <c r="ABY38" s="188"/>
      <c r="ABZ38" s="188"/>
      <c r="ACA38" s="188"/>
      <c r="ACB38" s="188"/>
      <c r="ACC38" s="188"/>
      <c r="ACD38" s="188"/>
      <c r="ACE38" s="188"/>
      <c r="ACF38" s="188"/>
      <c r="ACG38" s="188"/>
      <c r="ACH38" s="188"/>
      <c r="ACI38" s="188"/>
      <c r="ACJ38" s="188"/>
      <c r="ACK38" s="188"/>
      <c r="ACL38" s="188"/>
      <c r="ACM38" s="188"/>
      <c r="ACN38" s="188"/>
      <c r="ACO38" s="188"/>
      <c r="ACP38" s="188"/>
      <c r="ACQ38" s="188"/>
      <c r="ACR38" s="188"/>
      <c r="ACU38" s="188"/>
      <c r="ACX38" s="188"/>
      <c r="ADA38" s="188"/>
      <c r="ADB38" s="188"/>
      <c r="ADC38" s="188"/>
      <c r="ADD38" s="188"/>
      <c r="ADE38" s="188"/>
      <c r="ADF38" s="188"/>
      <c r="ADG38" s="188"/>
      <c r="ADH38" s="188"/>
      <c r="ADI38" s="188"/>
      <c r="ADK38" s="188"/>
      <c r="ADL38" s="188"/>
      <c r="ADM38" s="188"/>
      <c r="ADN38" s="188"/>
      <c r="ADO38" s="188"/>
      <c r="ADP38" s="188"/>
      <c r="ADQ38" s="188"/>
      <c r="ADR38" s="188"/>
      <c r="ADS38" s="188"/>
      <c r="ADT38" s="188"/>
      <c r="ADU38" s="188"/>
      <c r="ADV38" s="188"/>
      <c r="ADW38" s="188"/>
      <c r="ADX38" s="188"/>
      <c r="ADY38" s="188"/>
      <c r="ADZ38" s="188"/>
      <c r="AEA38" s="188"/>
      <c r="AEB38" s="188"/>
      <c r="AEC38" s="188"/>
      <c r="AED38" s="188"/>
      <c r="AEE38" s="188"/>
      <c r="AEF38" s="188"/>
      <c r="AEG38" s="188"/>
      <c r="AEH38" s="188"/>
      <c r="AEI38" s="188"/>
      <c r="AEJ38" s="188"/>
      <c r="AEK38" s="188"/>
      <c r="AEL38" s="188"/>
      <c r="AEM38" s="188"/>
      <c r="AEN38" s="188"/>
      <c r="AEO38" s="188"/>
      <c r="AEP38" s="188"/>
      <c r="AEQ38" s="188"/>
      <c r="AER38" s="188"/>
      <c r="AES38" s="188"/>
      <c r="AET38" s="188"/>
      <c r="AEU38" s="188"/>
      <c r="AEV38" s="188"/>
      <c r="AEW38" s="188"/>
      <c r="AEX38" s="188"/>
      <c r="AEY38" s="188"/>
      <c r="AEZ38" s="188"/>
      <c r="AFA38" s="188"/>
      <c r="AFB38" s="188"/>
      <c r="AFC38" s="188"/>
      <c r="AFD38" s="188"/>
      <c r="AFE38" s="188"/>
      <c r="AFF38" s="188"/>
      <c r="AFG38" s="188"/>
      <c r="AFH38" s="188"/>
      <c r="AFI38" s="188"/>
      <c r="AFJ38" s="188"/>
      <c r="AFK38" s="188"/>
      <c r="AFL38" s="188"/>
      <c r="AFM38" s="188"/>
      <c r="AFN38" s="188"/>
      <c r="AFO38" s="188"/>
      <c r="AFP38" s="188"/>
      <c r="AFQ38" s="188"/>
      <c r="AFR38" s="188"/>
      <c r="AFS38" s="188"/>
      <c r="AFT38" s="188"/>
      <c r="AFU38" s="188"/>
      <c r="AFV38" s="188"/>
      <c r="AFW38" s="188"/>
      <c r="AFX38" s="188"/>
      <c r="AFY38" s="188"/>
      <c r="AFZ38" s="188"/>
      <c r="AGA38" s="188"/>
      <c r="AGB38" s="188"/>
      <c r="AGC38" s="188"/>
      <c r="AGD38" s="188"/>
      <c r="AGE38" s="188"/>
      <c r="AGF38" s="188"/>
      <c r="AGG38" s="188"/>
      <c r="AGH38" s="188"/>
      <c r="AGI38" s="188"/>
      <c r="AGJ38" s="188"/>
      <c r="AGK38" s="188"/>
      <c r="AGL38" s="188"/>
      <c r="AGM38" s="188"/>
      <c r="AGN38" s="188"/>
      <c r="AGO38" s="188"/>
      <c r="AGP38" s="188"/>
      <c r="AGQ38" s="188"/>
      <c r="AGR38" s="188"/>
      <c r="AGS38" s="188"/>
      <c r="AGT38" s="188"/>
      <c r="AGU38" s="188"/>
      <c r="AGV38" s="188"/>
      <c r="AGW38" s="188"/>
      <c r="AGX38" s="188"/>
      <c r="AGY38" s="188"/>
      <c r="AGZ38" s="188"/>
      <c r="AHA38" s="188"/>
      <c r="AHB38" s="188"/>
      <c r="AHC38" s="188"/>
      <c r="AHD38" s="188"/>
      <c r="AHE38" s="188"/>
      <c r="AHF38" s="188"/>
      <c r="AHG38" s="188"/>
      <c r="AHH38" s="188"/>
      <c r="AHI38" s="188"/>
      <c r="AHJ38" s="188"/>
      <c r="AHK38" s="188"/>
      <c r="AHL38" s="188"/>
      <c r="AHM38" s="188"/>
      <c r="AHN38" s="188"/>
      <c r="AHO38" s="188"/>
      <c r="AHP38" s="188"/>
      <c r="AHQ38" s="188"/>
      <c r="AHR38" s="188"/>
      <c r="AHS38" s="188"/>
      <c r="AHT38" s="188"/>
      <c r="AHU38" s="188"/>
      <c r="AHV38" s="188"/>
      <c r="AHW38" s="188"/>
      <c r="AHX38" s="188"/>
      <c r="AHY38" s="188"/>
      <c r="AHZ38" s="188"/>
      <c r="AIA38" s="188"/>
      <c r="AIB38" s="188"/>
      <c r="AIC38" s="188"/>
      <c r="AID38" s="188"/>
      <c r="AIE38" s="188"/>
      <c r="AIF38" s="188"/>
      <c r="AIG38" s="188"/>
      <c r="AIH38" s="188"/>
      <c r="AII38" s="188"/>
      <c r="AIJ38" s="188"/>
      <c r="AIK38" s="188"/>
      <c r="AIL38" s="188"/>
      <c r="AIM38" s="188"/>
      <c r="AIN38" s="188"/>
      <c r="AIO38" s="188"/>
      <c r="AIP38" s="188"/>
      <c r="AIQ38" s="188"/>
      <c r="AIR38" s="188"/>
      <c r="AIS38" s="188"/>
      <c r="AIT38" s="188"/>
      <c r="AIU38" s="188"/>
      <c r="AIV38" s="188"/>
      <c r="AIW38" s="188"/>
      <c r="AIX38" s="188"/>
      <c r="AIY38" s="188"/>
      <c r="AIZ38" s="188"/>
      <c r="AJA38" s="188"/>
      <c r="AJB38" s="188"/>
      <c r="AJC38" s="188"/>
      <c r="AJD38" s="188"/>
      <c r="AJE38" s="188"/>
      <c r="AJF38" s="188"/>
      <c r="AJG38" s="188"/>
      <c r="AJH38" s="188"/>
      <c r="AJI38" s="188"/>
      <c r="AJJ38" s="188"/>
      <c r="AJK38" s="188"/>
      <c r="AJL38" s="188"/>
      <c r="AJM38" s="188"/>
      <c r="AJN38" s="188"/>
      <c r="AJO38" s="188"/>
      <c r="AJP38" s="188"/>
      <c r="AJQ38" s="188"/>
      <c r="AJR38" s="188"/>
      <c r="AJS38" s="188"/>
      <c r="AJT38" s="188"/>
      <c r="AJU38" s="188"/>
      <c r="AJV38" s="188"/>
      <c r="AJW38" s="188"/>
      <c r="AJX38" s="188"/>
      <c r="AJY38" s="188"/>
      <c r="AJZ38" s="188"/>
      <c r="AKA38" s="188"/>
      <c r="AKB38" s="188"/>
      <c r="AKC38" s="188"/>
      <c r="AKD38" s="188"/>
      <c r="AKE38" s="188"/>
      <c r="AKF38" s="188"/>
      <c r="AKG38" s="188"/>
      <c r="AKH38" s="188"/>
      <c r="AKI38" s="188"/>
      <c r="AKJ38" s="188"/>
      <c r="AKK38" s="188"/>
      <c r="AKL38" s="188"/>
      <c r="AKM38" s="188"/>
      <c r="AKN38" s="188"/>
      <c r="AKO38" s="188"/>
      <c r="AKP38" s="188"/>
      <c r="AKQ38" s="188"/>
      <c r="AKR38" s="188"/>
      <c r="AKS38" s="188"/>
      <c r="AKT38" s="188"/>
      <c r="AKU38" s="188"/>
      <c r="AKV38" s="188"/>
      <c r="AKW38" s="188"/>
      <c r="AKX38" s="188"/>
      <c r="AKY38" s="188"/>
      <c r="AKZ38" s="188"/>
      <c r="ALA38" s="188"/>
      <c r="ALB38" s="188"/>
      <c r="ALC38" s="188"/>
      <c r="ALD38" s="188"/>
      <c r="ALE38" s="188"/>
      <c r="ALF38" s="188"/>
      <c r="ALG38" s="188"/>
      <c r="ALH38" s="188"/>
      <c r="ALI38" s="188"/>
      <c r="ALJ38" s="188"/>
      <c r="ALK38" s="188"/>
      <c r="ALL38" s="188"/>
      <c r="ALM38" s="188"/>
      <c r="ALN38" s="188"/>
      <c r="ALO38" s="188"/>
      <c r="ALP38" s="188"/>
      <c r="ALQ38" s="188"/>
      <c r="ALR38" s="188"/>
      <c r="ALS38" s="188"/>
      <c r="ALT38" s="188"/>
      <c r="ALU38" s="188"/>
      <c r="ALV38" s="188"/>
      <c r="ALW38" s="188"/>
      <c r="ALX38" s="188"/>
      <c r="ALY38" s="188"/>
      <c r="ALZ38" s="188"/>
      <c r="AMA38" s="188"/>
      <c r="AMB38" s="188"/>
      <c r="AMC38" s="188"/>
      <c r="AMD38" s="188"/>
      <c r="AME38" s="188"/>
      <c r="AMF38" s="188"/>
      <c r="AMG38" s="188"/>
      <c r="AMH38" s="188"/>
      <c r="AMI38" s="188"/>
      <c r="AMJ38" s="188"/>
      <c r="AMK38" s="188"/>
      <c r="AML38" s="188"/>
      <c r="AMM38" s="188"/>
      <c r="AMN38" s="188"/>
      <c r="AMQ38" s="188"/>
      <c r="AMT38" s="188"/>
      <c r="AMW38" s="188"/>
      <c r="AMX38" s="188"/>
      <c r="AMY38" s="188"/>
      <c r="AMZ38" s="188"/>
      <c r="ANA38" s="188"/>
      <c r="ANB38" s="188"/>
      <c r="ANC38" s="188"/>
      <c r="AND38" s="188"/>
      <c r="ANE38" s="188"/>
      <c r="ANG38" s="188"/>
      <c r="ANH38" s="188"/>
      <c r="ANI38" s="188"/>
      <c r="ANJ38" s="188"/>
      <c r="ANK38" s="188"/>
      <c r="ANL38" s="188"/>
      <c r="ANM38" s="188"/>
      <c r="ANN38" s="188"/>
      <c r="ANO38" s="188"/>
      <c r="ANP38" s="188"/>
      <c r="ANQ38" s="188"/>
      <c r="ANR38" s="188"/>
      <c r="ANS38" s="188"/>
      <c r="ANT38" s="188"/>
      <c r="ANU38" s="188"/>
      <c r="ANV38" s="188"/>
      <c r="ANW38" s="188"/>
      <c r="ANX38" s="188"/>
      <c r="ANY38" s="188"/>
      <c r="ANZ38" s="188"/>
      <c r="AOA38" s="188"/>
      <c r="AOB38" s="188"/>
      <c r="AOC38" s="188"/>
      <c r="AOD38" s="188"/>
      <c r="AOE38" s="188"/>
      <c r="AOF38" s="188"/>
      <c r="AOG38" s="188"/>
      <c r="AOH38" s="188"/>
      <c r="AOI38" s="188"/>
      <c r="AOJ38" s="188"/>
      <c r="AOK38" s="188"/>
      <c r="AOL38" s="188"/>
      <c r="AOM38" s="188"/>
      <c r="AON38" s="188"/>
      <c r="AOO38" s="188"/>
      <c r="AOP38" s="188"/>
      <c r="AOQ38" s="188"/>
      <c r="AOR38" s="188"/>
      <c r="AOS38" s="188"/>
      <c r="AOT38" s="188"/>
      <c r="AOU38" s="188"/>
      <c r="AOV38" s="188"/>
      <c r="AOW38" s="188"/>
      <c r="AOX38" s="188"/>
      <c r="AOY38" s="188"/>
      <c r="AOZ38" s="188"/>
      <c r="APA38" s="188"/>
      <c r="APB38" s="188"/>
      <c r="APC38" s="188"/>
      <c r="APD38" s="188"/>
      <c r="APE38" s="188"/>
      <c r="APF38" s="188"/>
      <c r="APG38" s="188"/>
      <c r="APH38" s="188"/>
      <c r="API38" s="188"/>
      <c r="APJ38" s="188"/>
      <c r="APK38" s="188"/>
      <c r="APL38" s="188"/>
      <c r="APM38" s="188"/>
      <c r="APN38" s="188"/>
      <c r="APO38" s="188"/>
      <c r="APP38" s="188"/>
      <c r="APQ38" s="188"/>
      <c r="APR38" s="188"/>
      <c r="APS38" s="188"/>
      <c r="APT38" s="188"/>
      <c r="APU38" s="188"/>
      <c r="APV38" s="188"/>
      <c r="APW38" s="188"/>
      <c r="APX38" s="188"/>
      <c r="APY38" s="188"/>
      <c r="APZ38" s="188"/>
      <c r="AQA38" s="188"/>
      <c r="AQB38" s="188"/>
      <c r="AQC38" s="188"/>
      <c r="AQD38" s="188"/>
      <c r="AQE38" s="188"/>
      <c r="AQF38" s="188"/>
      <c r="AQG38" s="188"/>
      <c r="AQH38" s="188"/>
      <c r="AQI38" s="188"/>
      <c r="AQJ38" s="188"/>
      <c r="AQK38" s="188"/>
      <c r="AQL38" s="188"/>
      <c r="AQM38" s="188"/>
      <c r="AQN38" s="188"/>
      <c r="AQO38" s="188"/>
      <c r="AQP38" s="188"/>
      <c r="AQQ38" s="188"/>
      <c r="AQR38" s="188"/>
      <c r="AQS38" s="188"/>
      <c r="AQT38" s="188"/>
      <c r="AQU38" s="188"/>
      <c r="AQV38" s="188"/>
      <c r="AQW38" s="188"/>
      <c r="AQX38" s="188"/>
      <c r="AQY38" s="188"/>
      <c r="AQZ38" s="188"/>
      <c r="ARA38" s="188"/>
      <c r="ARB38" s="188"/>
      <c r="ARC38" s="188"/>
      <c r="ARD38" s="188"/>
      <c r="ARE38" s="188"/>
      <c r="ARF38" s="188"/>
      <c r="ARG38" s="188"/>
      <c r="ARH38" s="188"/>
      <c r="ARI38" s="188"/>
      <c r="ARJ38" s="188"/>
      <c r="ARK38" s="188"/>
      <c r="ARL38" s="188"/>
      <c r="ARM38" s="188"/>
      <c r="ARN38" s="188"/>
      <c r="ARO38" s="188"/>
      <c r="ARP38" s="188"/>
      <c r="ARQ38" s="188"/>
      <c r="ARR38" s="188"/>
      <c r="ARS38" s="188"/>
      <c r="ART38" s="188"/>
      <c r="ARU38" s="188"/>
      <c r="ARV38" s="188"/>
      <c r="ARW38" s="188"/>
      <c r="ARX38" s="188"/>
      <c r="ARY38" s="188"/>
      <c r="ARZ38" s="188"/>
      <c r="ASA38" s="188"/>
      <c r="ASB38" s="188"/>
      <c r="ASC38" s="188"/>
      <c r="ASD38" s="188"/>
      <c r="ASE38" s="188"/>
      <c r="ASF38" s="188"/>
      <c r="ASG38" s="188"/>
      <c r="ASH38" s="188"/>
      <c r="ASI38" s="188"/>
      <c r="ASJ38" s="188"/>
      <c r="ASK38" s="188"/>
      <c r="ASL38" s="188"/>
      <c r="ASM38" s="188"/>
      <c r="ASN38" s="188"/>
      <c r="ASO38" s="188"/>
      <c r="ASP38" s="188"/>
      <c r="ASQ38" s="188"/>
      <c r="ASR38" s="188"/>
      <c r="ASS38" s="188"/>
      <c r="AST38" s="188"/>
      <c r="ASU38" s="188"/>
      <c r="ASV38" s="188"/>
      <c r="ASW38" s="188"/>
      <c r="ASX38" s="188"/>
      <c r="ASY38" s="188"/>
      <c r="ASZ38" s="188"/>
      <c r="ATA38" s="188"/>
      <c r="ATB38" s="188"/>
      <c r="ATC38" s="188"/>
      <c r="ATD38" s="188"/>
      <c r="ATE38" s="188"/>
      <c r="ATF38" s="188"/>
      <c r="ATG38" s="188"/>
      <c r="ATH38" s="188"/>
      <c r="ATI38" s="188"/>
      <c r="ATJ38" s="188"/>
      <c r="ATK38" s="188"/>
      <c r="ATL38" s="188"/>
      <c r="ATM38" s="188"/>
      <c r="ATN38" s="188"/>
      <c r="ATO38" s="188"/>
      <c r="ATP38" s="188"/>
      <c r="ATQ38" s="188"/>
      <c r="ATR38" s="188"/>
      <c r="ATS38" s="188"/>
      <c r="ATT38" s="188"/>
      <c r="ATU38" s="188"/>
      <c r="ATV38" s="188"/>
      <c r="ATW38" s="188"/>
      <c r="ATX38" s="188"/>
      <c r="ATY38" s="188"/>
      <c r="ATZ38" s="188"/>
      <c r="AUA38" s="188"/>
      <c r="AUB38" s="188"/>
      <c r="AUC38" s="188"/>
      <c r="AUD38" s="188"/>
      <c r="AUE38" s="188"/>
      <c r="AUF38" s="188"/>
      <c r="AUG38" s="188"/>
      <c r="AUH38" s="188"/>
      <c r="AUI38" s="188"/>
      <c r="AUJ38" s="188"/>
      <c r="AUK38" s="188"/>
      <c r="AUL38" s="188"/>
      <c r="AUM38" s="188"/>
      <c r="AUN38" s="188"/>
      <c r="AUO38" s="188"/>
      <c r="AUP38" s="188"/>
      <c r="AUQ38" s="188"/>
      <c r="AUR38" s="188"/>
      <c r="AUS38" s="188"/>
      <c r="AUT38" s="188"/>
      <c r="AUU38" s="188"/>
      <c r="AUV38" s="188"/>
      <c r="AUW38" s="188"/>
      <c r="AUX38" s="188"/>
      <c r="AUY38" s="188"/>
      <c r="AUZ38" s="188"/>
      <c r="AVA38" s="188"/>
      <c r="AVB38" s="188"/>
      <c r="AVC38" s="188"/>
      <c r="AVD38" s="188"/>
      <c r="AVE38" s="188"/>
      <c r="AVF38" s="188"/>
      <c r="AVG38" s="188"/>
      <c r="AVH38" s="188"/>
      <c r="AVI38" s="188"/>
      <c r="AVJ38" s="188"/>
      <c r="AVK38" s="188"/>
      <c r="AVL38" s="188"/>
      <c r="AVM38" s="188"/>
      <c r="AVN38" s="188"/>
      <c r="AVO38" s="188"/>
      <c r="AVP38" s="188"/>
      <c r="AVQ38" s="188"/>
      <c r="AVR38" s="188"/>
      <c r="AVS38" s="188"/>
      <c r="AVT38" s="188"/>
      <c r="AVU38" s="188"/>
      <c r="AVV38" s="188"/>
      <c r="AVW38" s="188"/>
      <c r="AVX38" s="188"/>
      <c r="AVY38" s="188"/>
      <c r="AVZ38" s="188"/>
      <c r="AWA38" s="188"/>
      <c r="AWB38" s="188"/>
      <c r="AWC38" s="188"/>
      <c r="AWD38" s="188"/>
      <c r="AWE38" s="188"/>
      <c r="AWF38" s="188"/>
      <c r="AWG38" s="188"/>
      <c r="AWH38" s="188"/>
      <c r="AWI38" s="188"/>
      <c r="AWJ38" s="188"/>
      <c r="AWM38" s="188"/>
      <c r="AWP38" s="188"/>
      <c r="AWS38" s="188"/>
      <c r="AWT38" s="188"/>
      <c r="AWU38" s="188"/>
      <c r="AWV38" s="188"/>
      <c r="AWW38" s="188"/>
      <c r="AWX38" s="188"/>
      <c r="AWY38" s="188"/>
      <c r="AWZ38" s="188"/>
      <c r="AXA38" s="188"/>
      <c r="AXC38" s="188"/>
      <c r="AXD38" s="188"/>
      <c r="AXE38" s="188"/>
      <c r="AXF38" s="188"/>
      <c r="AXG38" s="188"/>
      <c r="AXH38" s="188"/>
      <c r="AXI38" s="188"/>
      <c r="AXJ38" s="188"/>
      <c r="AXK38" s="188"/>
      <c r="AXL38" s="188"/>
      <c r="AXM38" s="188"/>
      <c r="AXN38" s="188"/>
      <c r="AXO38" s="188"/>
      <c r="AXP38" s="188"/>
      <c r="AXQ38" s="188"/>
      <c r="AXR38" s="188"/>
      <c r="AXS38" s="188"/>
      <c r="AXT38" s="188"/>
      <c r="AXU38" s="188"/>
      <c r="AXV38" s="188"/>
      <c r="AXW38" s="188"/>
      <c r="AXX38" s="188"/>
      <c r="AXY38" s="188"/>
      <c r="AXZ38" s="188"/>
      <c r="AYA38" s="188"/>
      <c r="AYB38" s="188"/>
      <c r="AYC38" s="188"/>
      <c r="AYD38" s="188"/>
      <c r="AYE38" s="188"/>
      <c r="AYF38" s="188"/>
      <c r="AYG38" s="188"/>
      <c r="AYH38" s="188"/>
      <c r="AYI38" s="188"/>
      <c r="AYJ38" s="188"/>
      <c r="AYK38" s="188"/>
      <c r="AYL38" s="188"/>
      <c r="AYM38" s="188"/>
      <c r="AYN38" s="188"/>
      <c r="AYO38" s="188"/>
      <c r="AYP38" s="188"/>
      <c r="AYQ38" s="188"/>
      <c r="AYR38" s="188"/>
      <c r="AYS38" s="188"/>
      <c r="AYT38" s="188"/>
      <c r="AYU38" s="188"/>
      <c r="AYV38" s="188"/>
      <c r="AYW38" s="188"/>
      <c r="AYX38" s="188"/>
      <c r="AYY38" s="188"/>
      <c r="AYZ38" s="188"/>
      <c r="AZA38" s="188"/>
      <c r="AZB38" s="188"/>
      <c r="AZC38" s="188"/>
      <c r="AZD38" s="188"/>
      <c r="AZE38" s="188"/>
      <c r="AZF38" s="188"/>
      <c r="AZG38" s="188"/>
      <c r="AZH38" s="188"/>
      <c r="AZI38" s="188"/>
      <c r="AZJ38" s="188"/>
      <c r="AZK38" s="188"/>
      <c r="AZL38" s="188"/>
      <c r="AZM38" s="188"/>
      <c r="AZN38" s="188"/>
      <c r="AZO38" s="188"/>
      <c r="AZP38" s="188"/>
      <c r="AZQ38" s="188"/>
      <c r="AZR38" s="188"/>
      <c r="AZS38" s="188"/>
      <c r="AZT38" s="188"/>
      <c r="AZU38" s="188"/>
      <c r="AZV38" s="188"/>
      <c r="AZW38" s="188"/>
      <c r="AZX38" s="188"/>
      <c r="AZY38" s="188"/>
      <c r="AZZ38" s="188"/>
      <c r="BAA38" s="188"/>
      <c r="BAB38" s="188"/>
      <c r="BAC38" s="188"/>
      <c r="BAD38" s="188"/>
      <c r="BAE38" s="188"/>
      <c r="BAF38" s="188"/>
      <c r="BAG38" s="188"/>
      <c r="BAH38" s="188"/>
      <c r="BAI38" s="188"/>
      <c r="BAJ38" s="188"/>
      <c r="BAK38" s="188"/>
      <c r="BAL38" s="188"/>
      <c r="BAM38" s="188"/>
      <c r="BAN38" s="188"/>
      <c r="BAO38" s="188"/>
      <c r="BAP38" s="188"/>
      <c r="BAQ38" s="188"/>
      <c r="BAR38" s="188"/>
      <c r="BAS38" s="188"/>
      <c r="BAT38" s="188"/>
      <c r="BAU38" s="188"/>
      <c r="BAV38" s="188"/>
      <c r="BAW38" s="188"/>
      <c r="BAX38" s="188"/>
      <c r="BAY38" s="188"/>
      <c r="BAZ38" s="188"/>
      <c r="BBA38" s="188"/>
      <c r="BBB38" s="188"/>
      <c r="BBC38" s="188"/>
      <c r="BBD38" s="188"/>
      <c r="BBE38" s="188"/>
      <c r="BBF38" s="188"/>
      <c r="BBG38" s="188"/>
      <c r="BBH38" s="188"/>
      <c r="BBI38" s="188"/>
      <c r="BBJ38" s="188"/>
      <c r="BBK38" s="188"/>
      <c r="BBL38" s="188"/>
      <c r="BBM38" s="188"/>
      <c r="BBN38" s="188"/>
      <c r="BBO38" s="188"/>
      <c r="BBP38" s="188"/>
      <c r="BBQ38" s="188"/>
      <c r="BBR38" s="188"/>
      <c r="BBS38" s="188"/>
      <c r="BBT38" s="188"/>
      <c r="BBU38" s="188"/>
      <c r="BBV38" s="188"/>
      <c r="BBW38" s="188"/>
      <c r="BBX38" s="188"/>
      <c r="BBY38" s="188"/>
      <c r="BBZ38" s="188"/>
      <c r="BCA38" s="188"/>
      <c r="BCB38" s="188"/>
      <c r="BCC38" s="188"/>
      <c r="BCD38" s="188"/>
      <c r="BCE38" s="188"/>
      <c r="BCF38" s="188"/>
      <c r="BCG38" s="188"/>
      <c r="BCH38" s="188"/>
      <c r="BCI38" s="188"/>
      <c r="BCJ38" s="188"/>
      <c r="BCK38" s="188"/>
      <c r="BCL38" s="188"/>
      <c r="BCM38" s="188"/>
      <c r="BCN38" s="188"/>
      <c r="BCO38" s="188"/>
      <c r="BCP38" s="188"/>
      <c r="BCQ38" s="188"/>
      <c r="BCR38" s="188"/>
      <c r="BCS38" s="188"/>
      <c r="BCT38" s="188"/>
      <c r="BCU38" s="188"/>
      <c r="BCV38" s="188"/>
      <c r="BCW38" s="188"/>
      <c r="BCX38" s="188"/>
      <c r="BCY38" s="188"/>
      <c r="BCZ38" s="188"/>
      <c r="BDA38" s="188"/>
      <c r="BDB38" s="188"/>
      <c r="BDC38" s="188"/>
      <c r="BDD38" s="188"/>
      <c r="BDE38" s="188"/>
      <c r="BDF38" s="188"/>
      <c r="BDG38" s="188"/>
      <c r="BDH38" s="188"/>
      <c r="BDI38" s="188"/>
      <c r="BDJ38" s="188"/>
      <c r="BDK38" s="188"/>
      <c r="BDL38" s="188"/>
      <c r="BDM38" s="188"/>
      <c r="BDN38" s="188"/>
      <c r="BDO38" s="188"/>
      <c r="BDP38" s="188"/>
      <c r="BDQ38" s="188"/>
      <c r="BDR38" s="188"/>
      <c r="BDS38" s="188"/>
      <c r="BDT38" s="188"/>
      <c r="BDU38" s="188"/>
      <c r="BDV38" s="188"/>
      <c r="BDW38" s="188"/>
      <c r="BDX38" s="188"/>
      <c r="BDY38" s="188"/>
      <c r="BDZ38" s="188"/>
      <c r="BEA38" s="188"/>
      <c r="BEB38" s="188"/>
      <c r="BEC38" s="188"/>
      <c r="BED38" s="188"/>
      <c r="BEE38" s="188"/>
      <c r="BEF38" s="188"/>
      <c r="BEG38" s="188"/>
      <c r="BEH38" s="188"/>
      <c r="BEI38" s="188"/>
      <c r="BEJ38" s="188"/>
      <c r="BEK38" s="188"/>
      <c r="BEL38" s="188"/>
      <c r="BEM38" s="188"/>
      <c r="BEN38" s="188"/>
      <c r="BEO38" s="188"/>
      <c r="BEP38" s="188"/>
      <c r="BEQ38" s="188"/>
      <c r="BER38" s="188"/>
      <c r="BES38" s="188"/>
      <c r="BET38" s="188"/>
      <c r="BEU38" s="188"/>
      <c r="BEV38" s="188"/>
      <c r="BEW38" s="188"/>
      <c r="BEX38" s="188"/>
      <c r="BEY38" s="188"/>
      <c r="BEZ38" s="188"/>
      <c r="BFA38" s="188"/>
      <c r="BFB38" s="188"/>
      <c r="BFC38" s="188"/>
      <c r="BFD38" s="188"/>
      <c r="BFE38" s="188"/>
      <c r="BFF38" s="188"/>
      <c r="BFG38" s="188"/>
      <c r="BFH38" s="188"/>
      <c r="BFI38" s="188"/>
      <c r="BFJ38" s="188"/>
      <c r="BFK38" s="188"/>
      <c r="BFL38" s="188"/>
      <c r="BFM38" s="188"/>
      <c r="BFN38" s="188"/>
      <c r="BFO38" s="188"/>
      <c r="BFP38" s="188"/>
      <c r="BFQ38" s="188"/>
      <c r="BFR38" s="188"/>
      <c r="BFS38" s="188"/>
      <c r="BFT38" s="188"/>
      <c r="BFU38" s="188"/>
      <c r="BFV38" s="188"/>
      <c r="BFW38" s="188"/>
      <c r="BFX38" s="188"/>
      <c r="BFY38" s="188"/>
      <c r="BFZ38" s="188"/>
      <c r="BGA38" s="188"/>
      <c r="BGB38" s="188"/>
      <c r="BGC38" s="188"/>
      <c r="BGD38" s="188"/>
      <c r="BGE38" s="188"/>
      <c r="BGF38" s="188"/>
      <c r="BGI38" s="188"/>
      <c r="BGL38" s="188"/>
      <c r="BGO38" s="188"/>
      <c r="BGP38" s="188"/>
      <c r="BGQ38" s="188"/>
      <c r="BGR38" s="188"/>
      <c r="BGS38" s="188"/>
      <c r="BGT38" s="188"/>
      <c r="BGU38" s="188"/>
      <c r="BGV38" s="188"/>
      <c r="BGW38" s="188"/>
      <c r="BGY38" s="188"/>
      <c r="BGZ38" s="188"/>
      <c r="BHA38" s="188"/>
      <c r="BHB38" s="188"/>
      <c r="BHC38" s="188"/>
      <c r="BHD38" s="188"/>
      <c r="BHE38" s="188"/>
      <c r="BHF38" s="188"/>
      <c r="BHG38" s="188"/>
      <c r="BHH38" s="188"/>
      <c r="BHI38" s="188"/>
      <c r="BHJ38" s="188"/>
      <c r="BHK38" s="188"/>
      <c r="BHL38" s="188"/>
      <c r="BHM38" s="188"/>
      <c r="BHN38" s="188"/>
      <c r="BHO38" s="188"/>
      <c r="BHP38" s="188"/>
      <c r="BHQ38" s="188"/>
      <c r="BHR38" s="188"/>
      <c r="BHS38" s="188"/>
      <c r="BHT38" s="188"/>
      <c r="BHU38" s="188"/>
      <c r="BHV38" s="188"/>
      <c r="BHW38" s="188"/>
      <c r="BHX38" s="188"/>
      <c r="BHY38" s="188"/>
      <c r="BHZ38" s="188"/>
      <c r="BIA38" s="188"/>
      <c r="BIB38" s="188"/>
      <c r="BIC38" s="188"/>
      <c r="BID38" s="188"/>
      <c r="BIE38" s="188"/>
      <c r="BIF38" s="188"/>
      <c r="BIG38" s="188"/>
      <c r="BIH38" s="188"/>
      <c r="BII38" s="188"/>
      <c r="BIJ38" s="188"/>
      <c r="BIK38" s="188"/>
      <c r="BIL38" s="188"/>
      <c r="BIM38" s="188"/>
      <c r="BIN38" s="188"/>
      <c r="BIO38" s="188"/>
      <c r="BIP38" s="188"/>
      <c r="BIQ38" s="188"/>
      <c r="BIR38" s="188"/>
      <c r="BIS38" s="188"/>
      <c r="BIT38" s="188"/>
      <c r="BIU38" s="188"/>
      <c r="BIV38" s="188"/>
      <c r="BIW38" s="188"/>
      <c r="BIX38" s="188"/>
      <c r="BIY38" s="188"/>
      <c r="BIZ38" s="188"/>
      <c r="BJA38" s="188"/>
      <c r="BJB38" s="188"/>
      <c r="BJC38" s="188"/>
      <c r="BJD38" s="188"/>
      <c r="BJE38" s="188"/>
      <c r="BJF38" s="188"/>
      <c r="BJG38" s="188"/>
      <c r="BJH38" s="188"/>
      <c r="BJI38" s="188"/>
      <c r="BJJ38" s="188"/>
      <c r="BJK38" s="188"/>
      <c r="BJL38" s="188"/>
      <c r="BJM38" s="188"/>
      <c r="BJN38" s="188"/>
      <c r="BJO38" s="188"/>
      <c r="BJP38" s="188"/>
      <c r="BJQ38" s="188"/>
      <c r="BJR38" s="188"/>
      <c r="BJS38" s="188"/>
      <c r="BJT38" s="188"/>
      <c r="BJU38" s="188"/>
      <c r="BJV38" s="188"/>
      <c r="BJW38" s="188"/>
      <c r="BJX38" s="188"/>
      <c r="BJY38" s="188"/>
      <c r="BJZ38" s="188"/>
      <c r="BKA38" s="188"/>
      <c r="BKB38" s="188"/>
      <c r="BKC38" s="188"/>
      <c r="BKD38" s="188"/>
      <c r="BKE38" s="188"/>
      <c r="BKF38" s="188"/>
      <c r="BKG38" s="188"/>
      <c r="BKH38" s="188"/>
      <c r="BKI38" s="188"/>
      <c r="BKJ38" s="188"/>
      <c r="BKK38" s="188"/>
      <c r="BKL38" s="188"/>
      <c r="BKM38" s="188"/>
      <c r="BKN38" s="188"/>
      <c r="BKO38" s="188"/>
      <c r="BKP38" s="188"/>
      <c r="BKQ38" s="188"/>
      <c r="BKR38" s="188"/>
      <c r="BKS38" s="188"/>
      <c r="BKT38" s="188"/>
      <c r="BKU38" s="188"/>
      <c r="BKV38" s="188"/>
      <c r="BKW38" s="188"/>
      <c r="BKX38" s="188"/>
      <c r="BKY38" s="188"/>
      <c r="BKZ38" s="188"/>
      <c r="BLA38" s="188"/>
      <c r="BLB38" s="188"/>
      <c r="BLC38" s="188"/>
      <c r="BLD38" s="188"/>
      <c r="BLE38" s="188"/>
      <c r="BLF38" s="188"/>
      <c r="BLG38" s="188"/>
      <c r="BLH38" s="188"/>
      <c r="BLI38" s="188"/>
      <c r="BLJ38" s="188"/>
      <c r="BLK38" s="188"/>
      <c r="BLL38" s="188"/>
      <c r="BLM38" s="188"/>
      <c r="BLN38" s="188"/>
      <c r="BLO38" s="188"/>
      <c r="BLP38" s="188"/>
      <c r="BLQ38" s="188"/>
      <c r="BLR38" s="188"/>
      <c r="BLS38" s="188"/>
      <c r="BLT38" s="188"/>
      <c r="BLU38" s="188"/>
      <c r="BLV38" s="188"/>
      <c r="BLW38" s="188"/>
      <c r="BLX38" s="188"/>
      <c r="BLY38" s="188"/>
      <c r="BLZ38" s="188"/>
      <c r="BMA38" s="188"/>
      <c r="BMB38" s="188"/>
      <c r="BMC38" s="188"/>
      <c r="BMD38" s="188"/>
      <c r="BME38" s="188"/>
      <c r="BMF38" s="188"/>
      <c r="BMG38" s="188"/>
      <c r="BMH38" s="188"/>
      <c r="BMI38" s="188"/>
      <c r="BMJ38" s="188"/>
      <c r="BMK38" s="188"/>
      <c r="BML38" s="188"/>
      <c r="BMM38" s="188"/>
      <c r="BMN38" s="188"/>
      <c r="BMO38" s="188"/>
      <c r="BMP38" s="188"/>
      <c r="BMQ38" s="188"/>
      <c r="BMR38" s="188"/>
      <c r="BMS38" s="188"/>
      <c r="BMT38" s="188"/>
      <c r="BMU38" s="188"/>
      <c r="BMV38" s="188"/>
      <c r="BMW38" s="188"/>
      <c r="BMX38" s="188"/>
      <c r="BMY38" s="188"/>
      <c r="BMZ38" s="188"/>
      <c r="BNA38" s="188"/>
      <c r="BNB38" s="188"/>
      <c r="BNC38" s="188"/>
      <c r="BND38" s="188"/>
      <c r="BNE38" s="188"/>
      <c r="BNF38" s="188"/>
      <c r="BNG38" s="188"/>
      <c r="BNH38" s="188"/>
      <c r="BNI38" s="188"/>
      <c r="BNJ38" s="188"/>
      <c r="BNK38" s="188"/>
      <c r="BNL38" s="188"/>
      <c r="BNM38" s="188"/>
      <c r="BNN38" s="188"/>
      <c r="BNO38" s="188"/>
      <c r="BNP38" s="188"/>
      <c r="BNQ38" s="188"/>
      <c r="BNR38" s="188"/>
      <c r="BNS38" s="188"/>
      <c r="BNT38" s="188"/>
      <c r="BNU38" s="188"/>
      <c r="BNV38" s="188"/>
      <c r="BNW38" s="188"/>
      <c r="BNX38" s="188"/>
      <c r="BNY38" s="188"/>
      <c r="BNZ38" s="188"/>
      <c r="BOA38" s="188"/>
      <c r="BOB38" s="188"/>
      <c r="BOC38" s="188"/>
      <c r="BOD38" s="188"/>
      <c r="BOE38" s="188"/>
      <c r="BOF38" s="188"/>
      <c r="BOG38" s="188"/>
      <c r="BOH38" s="188"/>
      <c r="BOI38" s="188"/>
      <c r="BOJ38" s="188"/>
      <c r="BOK38" s="188"/>
      <c r="BOL38" s="188"/>
      <c r="BOM38" s="188"/>
      <c r="BON38" s="188"/>
      <c r="BOO38" s="188"/>
      <c r="BOP38" s="188"/>
      <c r="BOQ38" s="188"/>
      <c r="BOR38" s="188"/>
      <c r="BOS38" s="188"/>
      <c r="BOT38" s="188"/>
      <c r="BOU38" s="188"/>
      <c r="BOV38" s="188"/>
      <c r="BOW38" s="188"/>
      <c r="BOX38" s="188"/>
      <c r="BOY38" s="188"/>
      <c r="BOZ38" s="188"/>
      <c r="BPA38" s="188"/>
      <c r="BPB38" s="188"/>
      <c r="BPC38" s="188"/>
      <c r="BPD38" s="188"/>
      <c r="BPE38" s="188"/>
      <c r="BPF38" s="188"/>
      <c r="BPG38" s="188"/>
      <c r="BPH38" s="188"/>
      <c r="BPI38" s="188"/>
      <c r="BPJ38" s="188"/>
      <c r="BPK38" s="188"/>
      <c r="BPL38" s="188"/>
      <c r="BPM38" s="188"/>
      <c r="BPN38" s="188"/>
      <c r="BPO38" s="188"/>
      <c r="BPP38" s="188"/>
      <c r="BPQ38" s="188"/>
      <c r="BPR38" s="188"/>
      <c r="BPS38" s="188"/>
      <c r="BPT38" s="188"/>
      <c r="BPU38" s="188"/>
      <c r="BPV38" s="188"/>
      <c r="BPW38" s="188"/>
      <c r="BPX38" s="188"/>
      <c r="BPY38" s="188"/>
      <c r="BPZ38" s="188"/>
      <c r="BQA38" s="188"/>
      <c r="BQB38" s="188"/>
      <c r="BQE38" s="188"/>
      <c r="BQH38" s="188"/>
      <c r="BQK38" s="188"/>
      <c r="BQL38" s="188"/>
      <c r="BQM38" s="188"/>
      <c r="BQN38" s="188"/>
      <c r="BQO38" s="188"/>
      <c r="BQP38" s="188"/>
      <c r="BQQ38" s="188"/>
      <c r="BQR38" s="188"/>
      <c r="BQS38" s="188"/>
      <c r="BQU38" s="188"/>
      <c r="BQV38" s="188"/>
      <c r="BQW38" s="188"/>
      <c r="BQX38" s="188"/>
      <c r="BQY38" s="188"/>
      <c r="BQZ38" s="188"/>
      <c r="BRA38" s="188"/>
      <c r="BRB38" s="188"/>
      <c r="BRC38" s="188"/>
      <c r="BRD38" s="188"/>
      <c r="BRE38" s="188"/>
      <c r="BRF38" s="188"/>
      <c r="BRG38" s="188"/>
      <c r="BRH38" s="188"/>
      <c r="BRI38" s="188"/>
      <c r="BRJ38" s="188"/>
      <c r="BRK38" s="188"/>
      <c r="BRL38" s="188"/>
      <c r="BRM38" s="188"/>
      <c r="BRN38" s="188"/>
      <c r="BRO38" s="188"/>
      <c r="BRP38" s="188"/>
      <c r="BRQ38" s="188"/>
      <c r="BRR38" s="188"/>
      <c r="BRS38" s="188"/>
      <c r="BRT38" s="188"/>
      <c r="BRU38" s="188"/>
      <c r="BRV38" s="188"/>
      <c r="BRW38" s="188"/>
      <c r="BRX38" s="188"/>
      <c r="BRY38" s="188"/>
      <c r="BRZ38" s="188"/>
      <c r="BSA38" s="188"/>
      <c r="BSB38" s="188"/>
      <c r="BSC38" s="188"/>
      <c r="BSD38" s="188"/>
      <c r="BSE38" s="188"/>
      <c r="BSF38" s="188"/>
      <c r="BSG38" s="188"/>
      <c r="BSH38" s="188"/>
      <c r="BSI38" s="188"/>
      <c r="BSJ38" s="188"/>
      <c r="BSK38" s="188"/>
      <c r="BSL38" s="188"/>
      <c r="BSM38" s="188"/>
      <c r="BSN38" s="188"/>
      <c r="BSO38" s="188"/>
      <c r="BSP38" s="188"/>
      <c r="BSQ38" s="188"/>
      <c r="BSR38" s="188"/>
      <c r="BSS38" s="188"/>
      <c r="BST38" s="188"/>
      <c r="BSU38" s="188"/>
      <c r="BSV38" s="188"/>
      <c r="BSW38" s="188"/>
      <c r="BSX38" s="188"/>
      <c r="BSY38" s="188"/>
      <c r="BSZ38" s="188"/>
      <c r="BTA38" s="188"/>
      <c r="BTB38" s="188"/>
      <c r="BTC38" s="188"/>
      <c r="BTD38" s="188"/>
      <c r="BTE38" s="188"/>
      <c r="BTF38" s="188"/>
      <c r="BTG38" s="188"/>
      <c r="BTH38" s="188"/>
      <c r="BTI38" s="188"/>
      <c r="BTJ38" s="188"/>
      <c r="BTK38" s="188"/>
      <c r="BTL38" s="188"/>
      <c r="BTM38" s="188"/>
      <c r="BTN38" s="188"/>
      <c r="BTO38" s="188"/>
      <c r="BTP38" s="188"/>
      <c r="BTQ38" s="188"/>
      <c r="BTR38" s="188"/>
      <c r="BTS38" s="188"/>
      <c r="BTT38" s="188"/>
      <c r="BTU38" s="188"/>
      <c r="BTV38" s="188"/>
      <c r="BTW38" s="188"/>
      <c r="BTX38" s="188"/>
      <c r="BTY38" s="188"/>
      <c r="BTZ38" s="188"/>
      <c r="BUA38" s="188"/>
      <c r="BUB38" s="188"/>
      <c r="BUC38" s="188"/>
      <c r="BUD38" s="188"/>
      <c r="BUE38" s="188"/>
      <c r="BUF38" s="188"/>
      <c r="BUG38" s="188"/>
      <c r="BUH38" s="188"/>
      <c r="BUI38" s="188"/>
      <c r="BUJ38" s="188"/>
      <c r="BUK38" s="188"/>
      <c r="BUL38" s="188"/>
      <c r="BUM38" s="188"/>
      <c r="BUN38" s="188"/>
      <c r="BUO38" s="188"/>
      <c r="BUP38" s="188"/>
      <c r="BUQ38" s="188"/>
      <c r="BUR38" s="188"/>
      <c r="BUS38" s="188"/>
      <c r="BUT38" s="188"/>
      <c r="BUU38" s="188"/>
      <c r="BUV38" s="188"/>
      <c r="BUW38" s="188"/>
      <c r="BUX38" s="188"/>
      <c r="BUY38" s="188"/>
      <c r="BUZ38" s="188"/>
      <c r="BVA38" s="188"/>
      <c r="BVB38" s="188"/>
      <c r="BVC38" s="188"/>
      <c r="BVD38" s="188"/>
      <c r="BVE38" s="188"/>
      <c r="BVF38" s="188"/>
      <c r="BVG38" s="188"/>
      <c r="BVH38" s="188"/>
      <c r="BVI38" s="188"/>
      <c r="BVJ38" s="188"/>
      <c r="BVK38" s="188"/>
      <c r="BVL38" s="188"/>
      <c r="BVM38" s="188"/>
      <c r="BVN38" s="188"/>
      <c r="BVO38" s="188"/>
      <c r="BVP38" s="188"/>
      <c r="BVQ38" s="188"/>
      <c r="BVR38" s="188"/>
      <c r="BVS38" s="188"/>
      <c r="BVT38" s="188"/>
      <c r="BVU38" s="188"/>
      <c r="BVV38" s="188"/>
      <c r="BVW38" s="188"/>
      <c r="BVX38" s="188"/>
      <c r="BVY38" s="188"/>
      <c r="BVZ38" s="188"/>
      <c r="BWA38" s="188"/>
      <c r="BWB38" s="188"/>
      <c r="BWC38" s="188"/>
      <c r="BWD38" s="188"/>
      <c r="BWE38" s="188"/>
      <c r="BWF38" s="188"/>
      <c r="BWG38" s="188"/>
      <c r="BWH38" s="188"/>
      <c r="BWI38" s="188"/>
      <c r="BWJ38" s="188"/>
      <c r="BWK38" s="188"/>
      <c r="BWL38" s="188"/>
      <c r="BWM38" s="188"/>
      <c r="BWN38" s="188"/>
      <c r="BWO38" s="188"/>
      <c r="BWP38" s="188"/>
      <c r="BWQ38" s="188"/>
      <c r="BWR38" s="188"/>
      <c r="BWS38" s="188"/>
      <c r="BWT38" s="188"/>
      <c r="BWU38" s="188"/>
      <c r="BWV38" s="188"/>
      <c r="BWW38" s="188"/>
      <c r="BWX38" s="188"/>
      <c r="BWY38" s="188"/>
      <c r="BWZ38" s="188"/>
      <c r="BXA38" s="188"/>
      <c r="BXB38" s="188"/>
      <c r="BXC38" s="188"/>
      <c r="BXD38" s="188"/>
      <c r="BXE38" s="188"/>
      <c r="BXF38" s="188"/>
      <c r="BXG38" s="188"/>
      <c r="BXH38" s="188"/>
      <c r="BXI38" s="188"/>
      <c r="BXJ38" s="188"/>
      <c r="BXK38" s="188"/>
      <c r="BXL38" s="188"/>
      <c r="BXM38" s="188"/>
      <c r="BXN38" s="188"/>
      <c r="BXO38" s="188"/>
      <c r="BXP38" s="188"/>
      <c r="BXQ38" s="188"/>
      <c r="BXR38" s="188"/>
      <c r="BXS38" s="188"/>
      <c r="BXT38" s="188"/>
      <c r="BXU38" s="188"/>
      <c r="BXV38" s="188"/>
      <c r="BXW38" s="188"/>
      <c r="BXX38" s="188"/>
      <c r="BXY38" s="188"/>
      <c r="BXZ38" s="188"/>
      <c r="BYA38" s="188"/>
      <c r="BYB38" s="188"/>
      <c r="BYC38" s="188"/>
      <c r="BYD38" s="188"/>
      <c r="BYE38" s="188"/>
      <c r="BYF38" s="188"/>
      <c r="BYG38" s="188"/>
      <c r="BYH38" s="188"/>
      <c r="BYI38" s="188"/>
      <c r="BYJ38" s="188"/>
      <c r="BYK38" s="188"/>
      <c r="BYL38" s="188"/>
      <c r="BYM38" s="188"/>
      <c r="BYN38" s="188"/>
      <c r="BYO38" s="188"/>
      <c r="BYP38" s="188"/>
      <c r="BYQ38" s="188"/>
      <c r="BYR38" s="188"/>
      <c r="BYS38" s="188"/>
      <c r="BYT38" s="188"/>
      <c r="BYU38" s="188"/>
      <c r="BYV38" s="188"/>
      <c r="BYW38" s="188"/>
      <c r="BYX38" s="188"/>
      <c r="BYY38" s="188"/>
      <c r="BYZ38" s="188"/>
      <c r="BZA38" s="188"/>
      <c r="BZB38" s="188"/>
      <c r="BZC38" s="188"/>
      <c r="BZD38" s="188"/>
      <c r="BZE38" s="188"/>
      <c r="BZF38" s="188"/>
      <c r="BZG38" s="188"/>
      <c r="BZH38" s="188"/>
      <c r="BZI38" s="188"/>
      <c r="BZJ38" s="188"/>
      <c r="BZK38" s="188"/>
      <c r="BZL38" s="188"/>
      <c r="BZM38" s="188"/>
      <c r="BZN38" s="188"/>
      <c r="BZO38" s="188"/>
      <c r="BZP38" s="188"/>
      <c r="BZQ38" s="188"/>
      <c r="BZR38" s="188"/>
      <c r="BZS38" s="188"/>
      <c r="BZT38" s="188"/>
      <c r="BZU38" s="188"/>
      <c r="BZV38" s="188"/>
      <c r="BZW38" s="188"/>
      <c r="BZX38" s="188"/>
      <c r="CAA38" s="188"/>
      <c r="CAD38" s="188"/>
      <c r="CAG38" s="188"/>
      <c r="CAH38" s="188"/>
      <c r="CAI38" s="188"/>
      <c r="CAJ38" s="188"/>
      <c r="CAK38" s="188"/>
      <c r="CAL38" s="188"/>
      <c r="CAM38" s="188"/>
      <c r="CAN38" s="188"/>
      <c r="CAO38" s="188"/>
      <c r="CAQ38" s="188"/>
      <c r="CAR38" s="188"/>
      <c r="CAS38" s="188"/>
      <c r="CAT38" s="188"/>
      <c r="CAU38" s="188"/>
      <c r="CAV38" s="188"/>
      <c r="CAW38" s="188"/>
      <c r="CAX38" s="188"/>
      <c r="CAY38" s="188"/>
      <c r="CAZ38" s="188"/>
      <c r="CBA38" s="188"/>
      <c r="CBB38" s="188"/>
      <c r="CBC38" s="188"/>
      <c r="CBD38" s="188"/>
      <c r="CBE38" s="188"/>
      <c r="CBF38" s="188"/>
      <c r="CBG38" s="188"/>
      <c r="CBH38" s="188"/>
      <c r="CBI38" s="188"/>
      <c r="CBJ38" s="188"/>
      <c r="CBK38" s="188"/>
      <c r="CBL38" s="188"/>
      <c r="CBM38" s="188"/>
      <c r="CBN38" s="188"/>
      <c r="CBO38" s="188"/>
      <c r="CBP38" s="188"/>
      <c r="CBQ38" s="188"/>
      <c r="CBR38" s="188"/>
      <c r="CBS38" s="188"/>
      <c r="CBT38" s="188"/>
      <c r="CBU38" s="188"/>
      <c r="CBV38" s="188"/>
      <c r="CBW38" s="188"/>
      <c r="CBX38" s="188"/>
      <c r="CBY38" s="188"/>
      <c r="CBZ38" s="188"/>
      <c r="CCA38" s="188"/>
      <c r="CCB38" s="188"/>
      <c r="CCC38" s="188"/>
      <c r="CCD38" s="188"/>
      <c r="CCE38" s="188"/>
      <c r="CCF38" s="188"/>
      <c r="CCG38" s="188"/>
      <c r="CCH38" s="188"/>
      <c r="CCI38" s="188"/>
      <c r="CCJ38" s="188"/>
      <c r="CCK38" s="188"/>
      <c r="CCL38" s="188"/>
      <c r="CCM38" s="188"/>
      <c r="CCN38" s="188"/>
      <c r="CCO38" s="188"/>
      <c r="CCP38" s="188"/>
      <c r="CCQ38" s="188"/>
      <c r="CCR38" s="188"/>
      <c r="CCS38" s="188"/>
      <c r="CCT38" s="188"/>
      <c r="CCU38" s="188"/>
      <c r="CCV38" s="188"/>
      <c r="CCW38" s="188"/>
      <c r="CCX38" s="188"/>
      <c r="CCY38" s="188"/>
      <c r="CCZ38" s="188"/>
      <c r="CDA38" s="188"/>
      <c r="CDB38" s="188"/>
      <c r="CDC38" s="188"/>
      <c r="CDD38" s="188"/>
      <c r="CDE38" s="188"/>
      <c r="CDF38" s="188"/>
      <c r="CDG38" s="188"/>
      <c r="CDH38" s="188"/>
      <c r="CDI38" s="188"/>
      <c r="CDJ38" s="188"/>
      <c r="CDK38" s="188"/>
      <c r="CDL38" s="188"/>
      <c r="CDM38" s="188"/>
      <c r="CDN38" s="188"/>
      <c r="CDO38" s="188"/>
      <c r="CDP38" s="188"/>
      <c r="CDQ38" s="188"/>
      <c r="CDR38" s="188"/>
      <c r="CDS38" s="188"/>
      <c r="CDT38" s="188"/>
      <c r="CDU38" s="188"/>
      <c r="CDV38" s="188"/>
      <c r="CDW38" s="188"/>
      <c r="CDX38" s="188"/>
      <c r="CDY38" s="188"/>
      <c r="CDZ38" s="188"/>
      <c r="CEA38" s="188"/>
      <c r="CEB38" s="188"/>
      <c r="CEC38" s="188"/>
      <c r="CED38" s="188"/>
      <c r="CEE38" s="188"/>
      <c r="CEF38" s="188"/>
      <c r="CEG38" s="188"/>
      <c r="CEH38" s="188"/>
      <c r="CEI38" s="188"/>
      <c r="CEJ38" s="188"/>
      <c r="CEK38" s="188"/>
      <c r="CEL38" s="188"/>
      <c r="CEM38" s="188"/>
      <c r="CEN38" s="188"/>
      <c r="CEO38" s="188"/>
      <c r="CEP38" s="188"/>
      <c r="CEQ38" s="188"/>
      <c r="CER38" s="188"/>
      <c r="CES38" s="188"/>
      <c r="CET38" s="188"/>
      <c r="CEU38" s="188"/>
      <c r="CEV38" s="188"/>
      <c r="CEW38" s="188"/>
      <c r="CEX38" s="188"/>
      <c r="CEY38" s="188"/>
      <c r="CEZ38" s="188"/>
      <c r="CFA38" s="188"/>
      <c r="CFB38" s="188"/>
      <c r="CFC38" s="188"/>
      <c r="CFD38" s="188"/>
      <c r="CFE38" s="188"/>
      <c r="CFF38" s="188"/>
      <c r="CFG38" s="188"/>
      <c r="CFH38" s="188"/>
      <c r="CFI38" s="188"/>
      <c r="CFJ38" s="188"/>
      <c r="CFK38" s="188"/>
      <c r="CFL38" s="188"/>
      <c r="CFM38" s="188"/>
      <c r="CFN38" s="188"/>
      <c r="CFO38" s="188"/>
      <c r="CFP38" s="188"/>
      <c r="CFQ38" s="188"/>
      <c r="CFR38" s="188"/>
      <c r="CFS38" s="188"/>
      <c r="CFT38" s="188"/>
      <c r="CFU38" s="188"/>
      <c r="CFV38" s="188"/>
      <c r="CFW38" s="188"/>
      <c r="CFX38" s="188"/>
      <c r="CFY38" s="188"/>
      <c r="CFZ38" s="188"/>
      <c r="CGA38" s="188"/>
      <c r="CGB38" s="188"/>
      <c r="CGC38" s="188"/>
      <c r="CGD38" s="188"/>
      <c r="CGE38" s="188"/>
      <c r="CGF38" s="188"/>
      <c r="CGG38" s="188"/>
      <c r="CGH38" s="188"/>
      <c r="CGI38" s="188"/>
      <c r="CGJ38" s="188"/>
      <c r="CGK38" s="188"/>
      <c r="CGL38" s="188"/>
      <c r="CGM38" s="188"/>
      <c r="CGN38" s="188"/>
      <c r="CGO38" s="188"/>
      <c r="CGP38" s="188"/>
      <c r="CGQ38" s="188"/>
      <c r="CGR38" s="188"/>
      <c r="CGS38" s="188"/>
      <c r="CGT38" s="188"/>
      <c r="CGU38" s="188"/>
      <c r="CGV38" s="188"/>
      <c r="CGW38" s="188"/>
      <c r="CGX38" s="188"/>
      <c r="CGY38" s="188"/>
      <c r="CGZ38" s="188"/>
      <c r="CHA38" s="188"/>
      <c r="CHB38" s="188"/>
      <c r="CHC38" s="188"/>
      <c r="CHD38" s="188"/>
      <c r="CHE38" s="188"/>
      <c r="CHF38" s="188"/>
      <c r="CHG38" s="188"/>
      <c r="CHH38" s="188"/>
      <c r="CHI38" s="188"/>
      <c r="CHJ38" s="188"/>
      <c r="CHK38" s="188"/>
      <c r="CHL38" s="188"/>
      <c r="CHM38" s="188"/>
      <c r="CHN38" s="188"/>
      <c r="CHO38" s="188"/>
      <c r="CHP38" s="188"/>
      <c r="CHQ38" s="188"/>
      <c r="CHR38" s="188"/>
      <c r="CHS38" s="188"/>
      <c r="CHT38" s="188"/>
      <c r="CHU38" s="188"/>
      <c r="CHV38" s="188"/>
      <c r="CHW38" s="188"/>
      <c r="CHX38" s="188"/>
      <c r="CHY38" s="188"/>
      <c r="CHZ38" s="188"/>
      <c r="CIA38" s="188"/>
      <c r="CIB38" s="188"/>
      <c r="CIC38" s="188"/>
      <c r="CID38" s="188"/>
      <c r="CIE38" s="188"/>
      <c r="CIF38" s="188"/>
      <c r="CIG38" s="188"/>
      <c r="CIH38" s="188"/>
      <c r="CII38" s="188"/>
      <c r="CIJ38" s="188"/>
      <c r="CIK38" s="188"/>
      <c r="CIL38" s="188"/>
      <c r="CIM38" s="188"/>
      <c r="CIN38" s="188"/>
      <c r="CIO38" s="188"/>
      <c r="CIP38" s="188"/>
      <c r="CIQ38" s="188"/>
      <c r="CIR38" s="188"/>
      <c r="CIS38" s="188"/>
      <c r="CIT38" s="188"/>
      <c r="CIU38" s="188"/>
      <c r="CIV38" s="188"/>
      <c r="CIW38" s="188"/>
      <c r="CIX38" s="188"/>
      <c r="CIY38" s="188"/>
      <c r="CIZ38" s="188"/>
      <c r="CJA38" s="188"/>
      <c r="CJB38" s="188"/>
      <c r="CJC38" s="188"/>
      <c r="CJD38" s="188"/>
      <c r="CJE38" s="188"/>
      <c r="CJF38" s="188"/>
      <c r="CJG38" s="188"/>
      <c r="CJH38" s="188"/>
      <c r="CJI38" s="188"/>
      <c r="CJJ38" s="188"/>
      <c r="CJK38" s="188"/>
      <c r="CJL38" s="188"/>
      <c r="CJM38" s="188"/>
      <c r="CJN38" s="188"/>
      <c r="CJO38" s="188"/>
      <c r="CJP38" s="188"/>
      <c r="CJQ38" s="188"/>
      <c r="CJR38" s="188"/>
      <c r="CJS38" s="188"/>
      <c r="CJT38" s="188"/>
      <c r="CJW38" s="188"/>
      <c r="CJZ38" s="188"/>
      <c r="CKC38" s="188"/>
      <c r="CKD38" s="188"/>
      <c r="CKE38" s="188"/>
      <c r="CKF38" s="188"/>
      <c r="CKG38" s="188"/>
      <c r="CKH38" s="188"/>
      <c r="CKI38" s="188"/>
      <c r="CKJ38" s="188"/>
      <c r="CKK38" s="188"/>
      <c r="CKM38" s="188"/>
      <c r="CKN38" s="188"/>
      <c r="CKO38" s="188"/>
      <c r="CKP38" s="188"/>
      <c r="CKQ38" s="188"/>
      <c r="CKR38" s="188"/>
      <c r="CKS38" s="188"/>
      <c r="CKT38" s="188"/>
      <c r="CKU38" s="188"/>
      <c r="CKV38" s="188"/>
      <c r="CKW38" s="188"/>
      <c r="CKX38" s="188"/>
      <c r="CKY38" s="188"/>
      <c r="CKZ38" s="188"/>
      <c r="CLA38" s="188"/>
      <c r="CLB38" s="188"/>
      <c r="CLC38" s="188"/>
      <c r="CLD38" s="188"/>
      <c r="CLE38" s="188"/>
      <c r="CLF38" s="188"/>
      <c r="CLG38" s="188"/>
      <c r="CLH38" s="188"/>
      <c r="CLI38" s="188"/>
      <c r="CLJ38" s="188"/>
      <c r="CLK38" s="188"/>
      <c r="CLL38" s="188"/>
      <c r="CLM38" s="188"/>
      <c r="CLN38" s="188"/>
      <c r="CLO38" s="188"/>
      <c r="CLP38" s="188"/>
      <c r="CLQ38" s="188"/>
      <c r="CLR38" s="188"/>
      <c r="CLS38" s="188"/>
      <c r="CLT38" s="188"/>
      <c r="CLU38" s="188"/>
      <c r="CLV38" s="188"/>
      <c r="CLW38" s="188"/>
      <c r="CLX38" s="188"/>
      <c r="CLY38" s="188"/>
      <c r="CLZ38" s="188"/>
      <c r="CMA38" s="188"/>
      <c r="CMB38" s="188"/>
      <c r="CMC38" s="188"/>
      <c r="CMD38" s="188"/>
      <c r="CME38" s="188"/>
      <c r="CMF38" s="188"/>
      <c r="CMG38" s="188"/>
      <c r="CMH38" s="188"/>
      <c r="CMI38" s="188"/>
      <c r="CMJ38" s="188"/>
      <c r="CMK38" s="188"/>
      <c r="CML38" s="188"/>
      <c r="CMM38" s="188"/>
      <c r="CMN38" s="188"/>
      <c r="CMO38" s="188"/>
      <c r="CMP38" s="188"/>
      <c r="CMQ38" s="188"/>
      <c r="CMR38" s="188"/>
      <c r="CMS38" s="188"/>
      <c r="CMT38" s="188"/>
      <c r="CMU38" s="188"/>
      <c r="CMV38" s="188"/>
      <c r="CMW38" s="188"/>
      <c r="CMX38" s="188"/>
      <c r="CMY38" s="188"/>
      <c r="CMZ38" s="188"/>
      <c r="CNA38" s="188"/>
      <c r="CNB38" s="188"/>
      <c r="CNC38" s="188"/>
      <c r="CND38" s="188"/>
      <c r="CNE38" s="188"/>
      <c r="CNF38" s="188"/>
      <c r="CNG38" s="188"/>
      <c r="CNH38" s="188"/>
      <c r="CNI38" s="188"/>
      <c r="CNJ38" s="188"/>
      <c r="CNK38" s="188"/>
      <c r="CNL38" s="188"/>
      <c r="CNM38" s="188"/>
      <c r="CNN38" s="188"/>
      <c r="CNO38" s="188"/>
      <c r="CNP38" s="188"/>
      <c r="CNQ38" s="188"/>
      <c r="CNR38" s="188"/>
      <c r="CNS38" s="188"/>
      <c r="CNT38" s="188"/>
      <c r="CNU38" s="188"/>
      <c r="CNV38" s="188"/>
      <c r="CNW38" s="188"/>
      <c r="CNX38" s="188"/>
      <c r="CNY38" s="188"/>
      <c r="CNZ38" s="188"/>
      <c r="COA38" s="188"/>
      <c r="COB38" s="188"/>
      <c r="COC38" s="188"/>
      <c r="COD38" s="188"/>
      <c r="COE38" s="188"/>
      <c r="COF38" s="188"/>
      <c r="COG38" s="188"/>
      <c r="COH38" s="188"/>
      <c r="COI38" s="188"/>
      <c r="COJ38" s="188"/>
      <c r="COK38" s="188"/>
      <c r="COL38" s="188"/>
      <c r="COM38" s="188"/>
      <c r="CON38" s="188"/>
      <c r="COO38" s="188"/>
      <c r="COP38" s="188"/>
      <c r="COQ38" s="188"/>
      <c r="COR38" s="188"/>
      <c r="COS38" s="188"/>
      <c r="COT38" s="188"/>
      <c r="COU38" s="188"/>
      <c r="COV38" s="188"/>
      <c r="COW38" s="188"/>
      <c r="COX38" s="188"/>
      <c r="COY38" s="188"/>
      <c r="COZ38" s="188"/>
      <c r="CPA38" s="188"/>
      <c r="CPB38" s="188"/>
      <c r="CPC38" s="188"/>
      <c r="CPD38" s="188"/>
      <c r="CPE38" s="188"/>
      <c r="CPF38" s="188"/>
      <c r="CPG38" s="188"/>
      <c r="CPH38" s="188"/>
      <c r="CPI38" s="188"/>
      <c r="CPJ38" s="188"/>
      <c r="CPK38" s="188"/>
      <c r="CPL38" s="188"/>
      <c r="CPM38" s="188"/>
      <c r="CPN38" s="188"/>
      <c r="CPO38" s="188"/>
      <c r="CPP38" s="188"/>
      <c r="CPQ38" s="188"/>
      <c r="CPR38" s="188"/>
      <c r="CPS38" s="188"/>
      <c r="CPT38" s="188"/>
      <c r="CPU38" s="188"/>
      <c r="CPV38" s="188"/>
      <c r="CPW38" s="188"/>
      <c r="CPX38" s="188"/>
      <c r="CPY38" s="188"/>
      <c r="CPZ38" s="188"/>
      <c r="CQA38" s="188"/>
      <c r="CQB38" s="188"/>
      <c r="CQC38" s="188"/>
      <c r="CQD38" s="188"/>
      <c r="CQE38" s="188"/>
      <c r="CQF38" s="188"/>
      <c r="CQG38" s="188"/>
      <c r="CQH38" s="188"/>
      <c r="CQI38" s="188"/>
      <c r="CQJ38" s="188"/>
      <c r="CQK38" s="188"/>
      <c r="CQL38" s="188"/>
      <c r="CQM38" s="188"/>
      <c r="CQN38" s="188"/>
      <c r="CQO38" s="188"/>
      <c r="CQP38" s="188"/>
      <c r="CQQ38" s="188"/>
      <c r="CQR38" s="188"/>
      <c r="CQS38" s="188"/>
      <c r="CQT38" s="188"/>
      <c r="CQU38" s="188"/>
      <c r="CQV38" s="188"/>
      <c r="CQW38" s="188"/>
      <c r="CQX38" s="188"/>
      <c r="CQY38" s="188"/>
      <c r="CQZ38" s="188"/>
      <c r="CRA38" s="188"/>
      <c r="CRB38" s="188"/>
      <c r="CRC38" s="188"/>
      <c r="CRD38" s="188"/>
      <c r="CRE38" s="188"/>
      <c r="CRF38" s="188"/>
      <c r="CRG38" s="188"/>
      <c r="CRH38" s="188"/>
      <c r="CRI38" s="188"/>
      <c r="CRJ38" s="188"/>
      <c r="CRK38" s="188"/>
      <c r="CRL38" s="188"/>
      <c r="CRM38" s="188"/>
      <c r="CRN38" s="188"/>
      <c r="CRO38" s="188"/>
      <c r="CRP38" s="188"/>
      <c r="CRQ38" s="188"/>
      <c r="CRR38" s="188"/>
      <c r="CRS38" s="188"/>
      <c r="CRT38" s="188"/>
      <c r="CRU38" s="188"/>
      <c r="CRV38" s="188"/>
      <c r="CRW38" s="188"/>
      <c r="CRX38" s="188"/>
      <c r="CRY38" s="188"/>
      <c r="CRZ38" s="188"/>
      <c r="CSA38" s="188"/>
      <c r="CSB38" s="188"/>
      <c r="CSC38" s="188"/>
      <c r="CSD38" s="188"/>
      <c r="CSE38" s="188"/>
      <c r="CSF38" s="188"/>
      <c r="CSG38" s="188"/>
      <c r="CSH38" s="188"/>
      <c r="CSI38" s="188"/>
      <c r="CSJ38" s="188"/>
      <c r="CSK38" s="188"/>
      <c r="CSL38" s="188"/>
      <c r="CSM38" s="188"/>
      <c r="CSN38" s="188"/>
      <c r="CSO38" s="188"/>
      <c r="CSP38" s="188"/>
      <c r="CSQ38" s="188"/>
      <c r="CSR38" s="188"/>
      <c r="CSS38" s="188"/>
      <c r="CST38" s="188"/>
      <c r="CSU38" s="188"/>
      <c r="CSV38" s="188"/>
      <c r="CSW38" s="188"/>
      <c r="CSX38" s="188"/>
      <c r="CSY38" s="188"/>
      <c r="CSZ38" s="188"/>
      <c r="CTA38" s="188"/>
      <c r="CTB38" s="188"/>
      <c r="CTC38" s="188"/>
      <c r="CTD38" s="188"/>
      <c r="CTE38" s="188"/>
      <c r="CTF38" s="188"/>
      <c r="CTG38" s="188"/>
      <c r="CTH38" s="188"/>
      <c r="CTI38" s="188"/>
      <c r="CTJ38" s="188"/>
      <c r="CTK38" s="188"/>
      <c r="CTL38" s="188"/>
      <c r="CTM38" s="188"/>
      <c r="CTN38" s="188"/>
      <c r="CTO38" s="188"/>
      <c r="CTP38" s="188"/>
      <c r="CTS38" s="188"/>
      <c r="CTV38" s="188"/>
      <c r="CTY38" s="188"/>
      <c r="CTZ38" s="188"/>
      <c r="CUA38" s="188"/>
      <c r="CUB38" s="188"/>
      <c r="CUC38" s="188"/>
      <c r="CUD38" s="188"/>
      <c r="CUE38" s="188"/>
      <c r="CUF38" s="188"/>
      <c r="CUG38" s="188"/>
      <c r="CUI38" s="188"/>
      <c r="CUJ38" s="188"/>
      <c r="CUK38" s="188"/>
      <c r="CUL38" s="188"/>
      <c r="CUM38" s="188"/>
      <c r="CUN38" s="188"/>
      <c r="CUO38" s="188"/>
      <c r="CUP38" s="188"/>
      <c r="CUQ38" s="188"/>
      <c r="CUR38" s="188"/>
      <c r="CUS38" s="188"/>
      <c r="CUT38" s="188"/>
      <c r="CUU38" s="188"/>
      <c r="CUV38" s="188"/>
      <c r="CUW38" s="188"/>
      <c r="CUX38" s="188"/>
      <c r="CUY38" s="188"/>
      <c r="CUZ38" s="188"/>
      <c r="CVA38" s="188"/>
      <c r="CVB38" s="188"/>
      <c r="CVC38" s="188"/>
      <c r="CVD38" s="188"/>
      <c r="CVE38" s="188"/>
      <c r="CVF38" s="188"/>
      <c r="CVG38" s="188"/>
      <c r="CVH38" s="188"/>
      <c r="CVI38" s="188"/>
      <c r="CVJ38" s="188"/>
      <c r="CVK38" s="188"/>
      <c r="CVL38" s="188"/>
      <c r="CVM38" s="188"/>
      <c r="CVN38" s="188"/>
      <c r="CVO38" s="188"/>
      <c r="CVP38" s="188"/>
      <c r="CVQ38" s="188"/>
      <c r="CVR38" s="188"/>
      <c r="CVS38" s="188"/>
      <c r="CVT38" s="188"/>
      <c r="CVU38" s="188"/>
      <c r="CVV38" s="188"/>
      <c r="CVW38" s="188"/>
      <c r="CVX38" s="188"/>
      <c r="CVY38" s="188"/>
      <c r="CVZ38" s="188"/>
      <c r="CWA38" s="188"/>
      <c r="CWB38" s="188"/>
      <c r="CWC38" s="188"/>
      <c r="CWD38" s="188"/>
      <c r="CWE38" s="188"/>
      <c r="CWF38" s="188"/>
      <c r="CWG38" s="188"/>
      <c r="CWH38" s="188"/>
      <c r="CWI38" s="188"/>
      <c r="CWJ38" s="188"/>
      <c r="CWK38" s="188"/>
      <c r="CWL38" s="188"/>
      <c r="CWM38" s="188"/>
      <c r="CWN38" s="188"/>
      <c r="CWO38" s="188"/>
      <c r="CWP38" s="188"/>
      <c r="CWQ38" s="188"/>
      <c r="CWR38" s="188"/>
      <c r="CWS38" s="188"/>
      <c r="CWT38" s="188"/>
      <c r="CWU38" s="188"/>
      <c r="CWV38" s="188"/>
      <c r="CWW38" s="188"/>
      <c r="CWX38" s="188"/>
      <c r="CWY38" s="188"/>
      <c r="CWZ38" s="188"/>
      <c r="CXA38" s="188"/>
      <c r="CXB38" s="188"/>
      <c r="CXC38" s="188"/>
      <c r="CXD38" s="188"/>
      <c r="CXE38" s="188"/>
      <c r="CXF38" s="188"/>
      <c r="CXG38" s="188"/>
      <c r="CXH38" s="188"/>
      <c r="CXI38" s="188"/>
      <c r="CXJ38" s="188"/>
      <c r="CXK38" s="188"/>
      <c r="CXL38" s="188"/>
      <c r="CXM38" s="188"/>
      <c r="CXN38" s="188"/>
      <c r="CXO38" s="188"/>
      <c r="CXP38" s="188"/>
      <c r="CXQ38" s="188"/>
      <c r="CXR38" s="188"/>
      <c r="CXS38" s="188"/>
      <c r="CXT38" s="188"/>
      <c r="CXU38" s="188"/>
      <c r="CXV38" s="188"/>
      <c r="CXW38" s="188"/>
      <c r="CXX38" s="188"/>
      <c r="CXY38" s="188"/>
      <c r="CXZ38" s="188"/>
      <c r="CYA38" s="188"/>
      <c r="CYB38" s="188"/>
      <c r="CYC38" s="188"/>
      <c r="CYD38" s="188"/>
      <c r="CYE38" s="188"/>
      <c r="CYF38" s="188"/>
      <c r="CYG38" s="188"/>
      <c r="CYH38" s="188"/>
      <c r="CYI38" s="188"/>
      <c r="CYJ38" s="188"/>
      <c r="CYK38" s="188"/>
      <c r="CYL38" s="188"/>
      <c r="CYM38" s="188"/>
      <c r="CYN38" s="188"/>
      <c r="CYO38" s="188"/>
      <c r="CYP38" s="188"/>
      <c r="CYQ38" s="188"/>
      <c r="CYR38" s="188"/>
      <c r="CYS38" s="188"/>
      <c r="CYT38" s="188"/>
      <c r="CYU38" s="188"/>
      <c r="CYV38" s="188"/>
      <c r="CYW38" s="188"/>
      <c r="CYX38" s="188"/>
      <c r="CYY38" s="188"/>
      <c r="CYZ38" s="188"/>
      <c r="CZA38" s="188"/>
      <c r="CZB38" s="188"/>
      <c r="CZC38" s="188"/>
      <c r="CZD38" s="188"/>
      <c r="CZE38" s="188"/>
      <c r="CZF38" s="188"/>
      <c r="CZG38" s="188"/>
      <c r="CZH38" s="188"/>
      <c r="CZI38" s="188"/>
      <c r="CZJ38" s="188"/>
      <c r="CZK38" s="188"/>
      <c r="CZL38" s="188"/>
      <c r="CZM38" s="188"/>
      <c r="CZN38" s="188"/>
      <c r="CZO38" s="188"/>
      <c r="CZP38" s="188"/>
      <c r="CZQ38" s="188"/>
      <c r="CZR38" s="188"/>
      <c r="CZS38" s="188"/>
      <c r="CZT38" s="188"/>
      <c r="CZU38" s="188"/>
      <c r="CZV38" s="188"/>
      <c r="CZW38" s="188"/>
      <c r="CZX38" s="188"/>
      <c r="CZY38" s="188"/>
      <c r="CZZ38" s="188"/>
      <c r="DAA38" s="188"/>
      <c r="DAB38" s="188"/>
      <c r="DAC38" s="188"/>
      <c r="DAD38" s="188"/>
      <c r="DAE38" s="188"/>
      <c r="DAF38" s="188"/>
      <c r="DAG38" s="188"/>
      <c r="DAH38" s="188"/>
      <c r="DAI38" s="188"/>
      <c r="DAJ38" s="188"/>
      <c r="DAK38" s="188"/>
      <c r="DAL38" s="188"/>
      <c r="DAM38" s="188"/>
      <c r="DAN38" s="188"/>
      <c r="DAO38" s="188"/>
      <c r="DAP38" s="188"/>
      <c r="DAQ38" s="188"/>
      <c r="DAR38" s="188"/>
      <c r="DAS38" s="188"/>
      <c r="DAT38" s="188"/>
      <c r="DAU38" s="188"/>
      <c r="DAV38" s="188"/>
      <c r="DAW38" s="188"/>
      <c r="DAX38" s="188"/>
      <c r="DAY38" s="188"/>
      <c r="DAZ38" s="188"/>
      <c r="DBA38" s="188"/>
      <c r="DBB38" s="188"/>
      <c r="DBC38" s="188"/>
      <c r="DBD38" s="188"/>
      <c r="DBE38" s="188"/>
      <c r="DBF38" s="188"/>
      <c r="DBG38" s="188"/>
      <c r="DBH38" s="188"/>
      <c r="DBI38" s="188"/>
      <c r="DBJ38" s="188"/>
      <c r="DBK38" s="188"/>
      <c r="DBL38" s="188"/>
      <c r="DBM38" s="188"/>
      <c r="DBN38" s="188"/>
      <c r="DBO38" s="188"/>
      <c r="DBP38" s="188"/>
      <c r="DBQ38" s="188"/>
      <c r="DBR38" s="188"/>
      <c r="DBS38" s="188"/>
      <c r="DBT38" s="188"/>
      <c r="DBU38" s="188"/>
      <c r="DBV38" s="188"/>
      <c r="DBW38" s="188"/>
      <c r="DBX38" s="188"/>
      <c r="DBY38" s="188"/>
      <c r="DBZ38" s="188"/>
      <c r="DCA38" s="188"/>
      <c r="DCB38" s="188"/>
      <c r="DCC38" s="188"/>
      <c r="DCD38" s="188"/>
      <c r="DCE38" s="188"/>
      <c r="DCF38" s="188"/>
      <c r="DCG38" s="188"/>
      <c r="DCH38" s="188"/>
      <c r="DCI38" s="188"/>
      <c r="DCJ38" s="188"/>
      <c r="DCK38" s="188"/>
      <c r="DCL38" s="188"/>
      <c r="DCM38" s="188"/>
      <c r="DCN38" s="188"/>
      <c r="DCO38" s="188"/>
      <c r="DCP38" s="188"/>
      <c r="DCQ38" s="188"/>
      <c r="DCR38" s="188"/>
      <c r="DCS38" s="188"/>
      <c r="DCT38" s="188"/>
      <c r="DCU38" s="188"/>
      <c r="DCV38" s="188"/>
      <c r="DCW38" s="188"/>
      <c r="DCX38" s="188"/>
      <c r="DCY38" s="188"/>
      <c r="DCZ38" s="188"/>
      <c r="DDA38" s="188"/>
      <c r="DDB38" s="188"/>
      <c r="DDC38" s="188"/>
      <c r="DDD38" s="188"/>
      <c r="DDE38" s="188"/>
      <c r="DDF38" s="188"/>
      <c r="DDG38" s="188"/>
      <c r="DDH38" s="188"/>
      <c r="DDI38" s="188"/>
      <c r="DDJ38" s="188"/>
      <c r="DDK38" s="188"/>
      <c r="DDL38" s="188"/>
      <c r="DDO38" s="188"/>
      <c r="DDR38" s="188"/>
      <c r="DDU38" s="188"/>
      <c r="DDV38" s="188"/>
      <c r="DDW38" s="188"/>
      <c r="DDX38" s="188"/>
      <c r="DDY38" s="188"/>
      <c r="DDZ38" s="188"/>
      <c r="DEA38" s="188"/>
      <c r="DEB38" s="188"/>
      <c r="DEC38" s="188"/>
      <c r="DEE38" s="188"/>
      <c r="DEF38" s="188"/>
      <c r="DEG38" s="188"/>
      <c r="DEH38" s="188"/>
      <c r="DEI38" s="188"/>
      <c r="DEJ38" s="188"/>
      <c r="DEK38" s="188"/>
      <c r="DEL38" s="188"/>
      <c r="DEM38" s="188"/>
      <c r="DEN38" s="188"/>
      <c r="DEO38" s="188"/>
      <c r="DEP38" s="188"/>
      <c r="DEQ38" s="188"/>
      <c r="DER38" s="188"/>
      <c r="DES38" s="188"/>
      <c r="DET38" s="188"/>
      <c r="DEU38" s="188"/>
      <c r="DEV38" s="188"/>
      <c r="DEW38" s="188"/>
      <c r="DEX38" s="188"/>
      <c r="DEY38" s="188"/>
      <c r="DEZ38" s="188"/>
      <c r="DFA38" s="188"/>
      <c r="DFB38" s="188"/>
      <c r="DFC38" s="188"/>
      <c r="DFD38" s="188"/>
      <c r="DFE38" s="188"/>
      <c r="DFF38" s="188"/>
      <c r="DFG38" s="188"/>
      <c r="DFH38" s="188"/>
      <c r="DFI38" s="188"/>
      <c r="DFJ38" s="188"/>
      <c r="DFK38" s="188"/>
      <c r="DFL38" s="188"/>
      <c r="DFM38" s="188"/>
      <c r="DFN38" s="188"/>
      <c r="DFO38" s="188"/>
      <c r="DFP38" s="188"/>
      <c r="DFQ38" s="188"/>
      <c r="DFR38" s="188"/>
      <c r="DFS38" s="188"/>
      <c r="DFT38" s="188"/>
      <c r="DFU38" s="188"/>
      <c r="DFV38" s="188"/>
      <c r="DFW38" s="188"/>
      <c r="DFX38" s="188"/>
      <c r="DFY38" s="188"/>
      <c r="DFZ38" s="188"/>
      <c r="DGA38" s="188"/>
      <c r="DGB38" s="188"/>
      <c r="DGC38" s="188"/>
      <c r="DGD38" s="188"/>
      <c r="DGE38" s="188"/>
      <c r="DGF38" s="188"/>
      <c r="DGG38" s="188"/>
      <c r="DGH38" s="188"/>
      <c r="DGI38" s="188"/>
      <c r="DGJ38" s="188"/>
      <c r="DGK38" s="188"/>
      <c r="DGL38" s="188"/>
      <c r="DGM38" s="188"/>
      <c r="DGN38" s="188"/>
      <c r="DGO38" s="188"/>
      <c r="DGP38" s="188"/>
      <c r="DGQ38" s="188"/>
      <c r="DGR38" s="188"/>
      <c r="DGS38" s="188"/>
      <c r="DGT38" s="188"/>
      <c r="DGU38" s="188"/>
      <c r="DGV38" s="188"/>
      <c r="DGW38" s="188"/>
      <c r="DGX38" s="188"/>
      <c r="DGY38" s="188"/>
      <c r="DGZ38" s="188"/>
      <c r="DHA38" s="188"/>
      <c r="DHB38" s="188"/>
      <c r="DHC38" s="188"/>
      <c r="DHD38" s="188"/>
      <c r="DHE38" s="188"/>
      <c r="DHF38" s="188"/>
      <c r="DHG38" s="188"/>
      <c r="DHH38" s="188"/>
      <c r="DHI38" s="188"/>
      <c r="DHJ38" s="188"/>
      <c r="DHK38" s="188"/>
      <c r="DHL38" s="188"/>
      <c r="DHM38" s="188"/>
      <c r="DHN38" s="188"/>
      <c r="DHO38" s="188"/>
      <c r="DHP38" s="188"/>
      <c r="DHQ38" s="188"/>
      <c r="DHR38" s="188"/>
      <c r="DHS38" s="188"/>
      <c r="DHT38" s="188"/>
      <c r="DHU38" s="188"/>
      <c r="DHV38" s="188"/>
      <c r="DHW38" s="188"/>
      <c r="DHX38" s="188"/>
      <c r="DHY38" s="188"/>
      <c r="DHZ38" s="188"/>
      <c r="DIA38" s="188"/>
      <c r="DIB38" s="188"/>
      <c r="DIC38" s="188"/>
      <c r="DID38" s="188"/>
      <c r="DIE38" s="188"/>
      <c r="DIF38" s="188"/>
      <c r="DIG38" s="188"/>
      <c r="DIH38" s="188"/>
      <c r="DII38" s="188"/>
      <c r="DIJ38" s="188"/>
      <c r="DIK38" s="188"/>
      <c r="DIL38" s="188"/>
      <c r="DIM38" s="188"/>
      <c r="DIN38" s="188"/>
      <c r="DIO38" s="188"/>
      <c r="DIP38" s="188"/>
      <c r="DIQ38" s="188"/>
      <c r="DIR38" s="188"/>
      <c r="DIS38" s="188"/>
      <c r="DIT38" s="188"/>
      <c r="DIU38" s="188"/>
      <c r="DIV38" s="188"/>
      <c r="DIW38" s="188"/>
      <c r="DIX38" s="188"/>
      <c r="DIY38" s="188"/>
      <c r="DIZ38" s="188"/>
      <c r="DJA38" s="188"/>
      <c r="DJB38" s="188"/>
      <c r="DJC38" s="188"/>
      <c r="DJD38" s="188"/>
      <c r="DJE38" s="188"/>
      <c r="DJF38" s="188"/>
      <c r="DJG38" s="188"/>
      <c r="DJH38" s="188"/>
      <c r="DJI38" s="188"/>
      <c r="DJJ38" s="188"/>
      <c r="DJK38" s="188"/>
      <c r="DJL38" s="188"/>
      <c r="DJM38" s="188"/>
      <c r="DJN38" s="188"/>
      <c r="DJO38" s="188"/>
      <c r="DJP38" s="188"/>
      <c r="DJQ38" s="188"/>
      <c r="DJR38" s="188"/>
      <c r="DJS38" s="188"/>
      <c r="DJT38" s="188"/>
      <c r="DJU38" s="188"/>
      <c r="DJV38" s="188"/>
      <c r="DJW38" s="188"/>
      <c r="DJX38" s="188"/>
      <c r="DJY38" s="188"/>
      <c r="DJZ38" s="188"/>
      <c r="DKA38" s="188"/>
      <c r="DKB38" s="188"/>
      <c r="DKC38" s="188"/>
      <c r="DKD38" s="188"/>
      <c r="DKE38" s="188"/>
      <c r="DKF38" s="188"/>
      <c r="DKG38" s="188"/>
      <c r="DKH38" s="188"/>
      <c r="DKI38" s="188"/>
      <c r="DKJ38" s="188"/>
      <c r="DKK38" s="188"/>
      <c r="DKL38" s="188"/>
      <c r="DKM38" s="188"/>
      <c r="DKN38" s="188"/>
      <c r="DKO38" s="188"/>
      <c r="DKP38" s="188"/>
      <c r="DKQ38" s="188"/>
      <c r="DKR38" s="188"/>
      <c r="DKS38" s="188"/>
      <c r="DKT38" s="188"/>
      <c r="DKU38" s="188"/>
      <c r="DKV38" s="188"/>
      <c r="DKW38" s="188"/>
      <c r="DKX38" s="188"/>
      <c r="DKY38" s="188"/>
      <c r="DKZ38" s="188"/>
      <c r="DLA38" s="188"/>
      <c r="DLB38" s="188"/>
      <c r="DLC38" s="188"/>
      <c r="DLD38" s="188"/>
      <c r="DLE38" s="188"/>
      <c r="DLF38" s="188"/>
      <c r="DLG38" s="188"/>
      <c r="DLH38" s="188"/>
      <c r="DLI38" s="188"/>
      <c r="DLJ38" s="188"/>
      <c r="DLK38" s="188"/>
      <c r="DLL38" s="188"/>
      <c r="DLM38" s="188"/>
      <c r="DLN38" s="188"/>
      <c r="DLO38" s="188"/>
      <c r="DLP38" s="188"/>
      <c r="DLQ38" s="188"/>
      <c r="DLR38" s="188"/>
      <c r="DLS38" s="188"/>
      <c r="DLT38" s="188"/>
      <c r="DLU38" s="188"/>
      <c r="DLV38" s="188"/>
      <c r="DLW38" s="188"/>
      <c r="DLX38" s="188"/>
      <c r="DLY38" s="188"/>
      <c r="DLZ38" s="188"/>
      <c r="DMA38" s="188"/>
      <c r="DMB38" s="188"/>
      <c r="DMC38" s="188"/>
      <c r="DMD38" s="188"/>
      <c r="DME38" s="188"/>
      <c r="DMF38" s="188"/>
      <c r="DMG38" s="188"/>
      <c r="DMH38" s="188"/>
      <c r="DMI38" s="188"/>
      <c r="DMJ38" s="188"/>
      <c r="DMK38" s="188"/>
      <c r="DML38" s="188"/>
      <c r="DMM38" s="188"/>
      <c r="DMN38" s="188"/>
      <c r="DMO38" s="188"/>
      <c r="DMP38" s="188"/>
      <c r="DMQ38" s="188"/>
      <c r="DMR38" s="188"/>
      <c r="DMS38" s="188"/>
      <c r="DMT38" s="188"/>
      <c r="DMU38" s="188"/>
      <c r="DMV38" s="188"/>
      <c r="DMW38" s="188"/>
      <c r="DMX38" s="188"/>
      <c r="DMY38" s="188"/>
      <c r="DMZ38" s="188"/>
      <c r="DNA38" s="188"/>
      <c r="DNB38" s="188"/>
      <c r="DNC38" s="188"/>
      <c r="DND38" s="188"/>
      <c r="DNE38" s="188"/>
      <c r="DNF38" s="188"/>
      <c r="DNG38" s="188"/>
      <c r="DNH38" s="188"/>
      <c r="DNK38" s="188"/>
      <c r="DNN38" s="188"/>
      <c r="DNQ38" s="188"/>
      <c r="DNR38" s="188"/>
      <c r="DNS38" s="188"/>
      <c r="DNT38" s="188"/>
      <c r="DNU38" s="188"/>
      <c r="DNV38" s="188"/>
      <c r="DNW38" s="188"/>
      <c r="DNX38" s="188"/>
      <c r="DNY38" s="188"/>
      <c r="DOA38" s="188"/>
      <c r="DOB38" s="188"/>
      <c r="DOC38" s="188"/>
      <c r="DOD38" s="188"/>
      <c r="DOE38" s="188"/>
      <c r="DOF38" s="188"/>
      <c r="DOG38" s="188"/>
      <c r="DOH38" s="188"/>
      <c r="DOI38" s="188"/>
      <c r="DOJ38" s="188"/>
      <c r="DOK38" s="188"/>
      <c r="DOL38" s="188"/>
      <c r="DOM38" s="188"/>
      <c r="DON38" s="188"/>
      <c r="DOO38" s="188"/>
      <c r="DOP38" s="188"/>
      <c r="DOQ38" s="188"/>
      <c r="DOR38" s="188"/>
      <c r="DOS38" s="188"/>
      <c r="DOT38" s="188"/>
      <c r="DOU38" s="188"/>
      <c r="DOV38" s="188"/>
      <c r="DOW38" s="188"/>
      <c r="DOX38" s="188"/>
      <c r="DOY38" s="188"/>
      <c r="DOZ38" s="188"/>
      <c r="DPA38" s="188"/>
      <c r="DPB38" s="188"/>
      <c r="DPC38" s="188"/>
      <c r="DPD38" s="188"/>
      <c r="DPE38" s="188"/>
      <c r="DPF38" s="188"/>
      <c r="DPG38" s="188"/>
      <c r="DPH38" s="188"/>
      <c r="DPI38" s="188"/>
      <c r="DPJ38" s="188"/>
      <c r="DPK38" s="188"/>
      <c r="DPL38" s="188"/>
      <c r="DPM38" s="188"/>
      <c r="DPN38" s="188"/>
      <c r="DPO38" s="188"/>
      <c r="DPP38" s="188"/>
      <c r="DPQ38" s="188"/>
      <c r="DPR38" s="188"/>
      <c r="DPS38" s="188"/>
      <c r="DPT38" s="188"/>
      <c r="DPU38" s="188"/>
      <c r="DPV38" s="188"/>
      <c r="DPW38" s="188"/>
      <c r="DPX38" s="188"/>
      <c r="DPY38" s="188"/>
      <c r="DPZ38" s="188"/>
      <c r="DQA38" s="188"/>
      <c r="DQB38" s="188"/>
      <c r="DQC38" s="188"/>
      <c r="DQD38" s="188"/>
      <c r="DQE38" s="188"/>
      <c r="DQF38" s="188"/>
      <c r="DQG38" s="188"/>
      <c r="DQH38" s="188"/>
      <c r="DQI38" s="188"/>
      <c r="DQJ38" s="188"/>
      <c r="DQK38" s="188"/>
      <c r="DQL38" s="188"/>
      <c r="DQM38" s="188"/>
      <c r="DQN38" s="188"/>
      <c r="DQO38" s="188"/>
      <c r="DQP38" s="188"/>
      <c r="DQQ38" s="188"/>
      <c r="DQR38" s="188"/>
      <c r="DQS38" s="188"/>
      <c r="DQT38" s="188"/>
      <c r="DQU38" s="188"/>
      <c r="DQV38" s="188"/>
      <c r="DQW38" s="188"/>
      <c r="DQX38" s="188"/>
      <c r="DQY38" s="188"/>
      <c r="DQZ38" s="188"/>
      <c r="DRA38" s="188"/>
      <c r="DRB38" s="188"/>
      <c r="DRC38" s="188"/>
      <c r="DRD38" s="188"/>
      <c r="DRE38" s="188"/>
      <c r="DRF38" s="188"/>
      <c r="DRG38" s="188"/>
      <c r="DRH38" s="188"/>
      <c r="DRI38" s="188"/>
      <c r="DRJ38" s="188"/>
      <c r="DRK38" s="188"/>
      <c r="DRL38" s="188"/>
      <c r="DRM38" s="188"/>
      <c r="DRN38" s="188"/>
      <c r="DRO38" s="188"/>
      <c r="DRP38" s="188"/>
      <c r="DRQ38" s="188"/>
      <c r="DRR38" s="188"/>
      <c r="DRS38" s="188"/>
      <c r="DRT38" s="188"/>
      <c r="DRU38" s="188"/>
      <c r="DRV38" s="188"/>
      <c r="DRW38" s="188"/>
      <c r="DRX38" s="188"/>
      <c r="DRY38" s="188"/>
      <c r="DRZ38" s="188"/>
      <c r="DSA38" s="188"/>
      <c r="DSB38" s="188"/>
      <c r="DSC38" s="188"/>
      <c r="DSD38" s="188"/>
      <c r="DSE38" s="188"/>
      <c r="DSF38" s="188"/>
      <c r="DSG38" s="188"/>
      <c r="DSH38" s="188"/>
      <c r="DSI38" s="188"/>
      <c r="DSJ38" s="188"/>
      <c r="DSK38" s="188"/>
      <c r="DSL38" s="188"/>
      <c r="DSM38" s="188"/>
      <c r="DSN38" s="188"/>
      <c r="DSO38" s="188"/>
      <c r="DSP38" s="188"/>
      <c r="DSQ38" s="188"/>
      <c r="DSR38" s="188"/>
      <c r="DSS38" s="188"/>
      <c r="DST38" s="188"/>
      <c r="DSU38" s="188"/>
      <c r="DSV38" s="188"/>
      <c r="DSW38" s="188"/>
      <c r="DSX38" s="188"/>
      <c r="DSY38" s="188"/>
      <c r="DSZ38" s="188"/>
      <c r="DTA38" s="188"/>
      <c r="DTB38" s="188"/>
      <c r="DTC38" s="188"/>
      <c r="DTD38" s="188"/>
      <c r="DTE38" s="188"/>
      <c r="DTF38" s="188"/>
      <c r="DTG38" s="188"/>
      <c r="DTH38" s="188"/>
      <c r="DTI38" s="188"/>
      <c r="DTJ38" s="188"/>
      <c r="DTK38" s="188"/>
      <c r="DTL38" s="188"/>
      <c r="DTM38" s="188"/>
      <c r="DTN38" s="188"/>
      <c r="DTO38" s="188"/>
      <c r="DTP38" s="188"/>
      <c r="DTQ38" s="188"/>
      <c r="DTR38" s="188"/>
      <c r="DTS38" s="188"/>
      <c r="DTT38" s="188"/>
      <c r="DTU38" s="188"/>
      <c r="DTV38" s="188"/>
      <c r="DTW38" s="188"/>
      <c r="DTX38" s="188"/>
      <c r="DTY38" s="188"/>
      <c r="DTZ38" s="188"/>
      <c r="DUA38" s="188"/>
      <c r="DUB38" s="188"/>
      <c r="DUC38" s="188"/>
      <c r="DUD38" s="188"/>
      <c r="DUE38" s="188"/>
      <c r="DUF38" s="188"/>
      <c r="DUG38" s="188"/>
      <c r="DUH38" s="188"/>
      <c r="DUI38" s="188"/>
      <c r="DUJ38" s="188"/>
      <c r="DUK38" s="188"/>
      <c r="DUL38" s="188"/>
      <c r="DUM38" s="188"/>
      <c r="DUN38" s="188"/>
      <c r="DUO38" s="188"/>
      <c r="DUP38" s="188"/>
      <c r="DUQ38" s="188"/>
      <c r="DUR38" s="188"/>
      <c r="DUS38" s="188"/>
      <c r="DUT38" s="188"/>
      <c r="DUU38" s="188"/>
      <c r="DUV38" s="188"/>
      <c r="DUW38" s="188"/>
      <c r="DUX38" s="188"/>
      <c r="DUY38" s="188"/>
      <c r="DUZ38" s="188"/>
      <c r="DVA38" s="188"/>
      <c r="DVB38" s="188"/>
      <c r="DVC38" s="188"/>
      <c r="DVD38" s="188"/>
      <c r="DVE38" s="188"/>
      <c r="DVF38" s="188"/>
      <c r="DVG38" s="188"/>
      <c r="DVH38" s="188"/>
      <c r="DVI38" s="188"/>
      <c r="DVJ38" s="188"/>
      <c r="DVK38" s="188"/>
      <c r="DVL38" s="188"/>
      <c r="DVM38" s="188"/>
      <c r="DVN38" s="188"/>
      <c r="DVO38" s="188"/>
      <c r="DVP38" s="188"/>
      <c r="DVQ38" s="188"/>
      <c r="DVR38" s="188"/>
      <c r="DVS38" s="188"/>
      <c r="DVT38" s="188"/>
      <c r="DVU38" s="188"/>
      <c r="DVV38" s="188"/>
      <c r="DVW38" s="188"/>
      <c r="DVX38" s="188"/>
      <c r="DVY38" s="188"/>
      <c r="DVZ38" s="188"/>
      <c r="DWA38" s="188"/>
      <c r="DWB38" s="188"/>
      <c r="DWC38" s="188"/>
      <c r="DWD38" s="188"/>
      <c r="DWE38" s="188"/>
      <c r="DWF38" s="188"/>
      <c r="DWG38" s="188"/>
      <c r="DWH38" s="188"/>
      <c r="DWI38" s="188"/>
      <c r="DWJ38" s="188"/>
      <c r="DWK38" s="188"/>
      <c r="DWL38" s="188"/>
      <c r="DWM38" s="188"/>
      <c r="DWN38" s="188"/>
      <c r="DWO38" s="188"/>
      <c r="DWP38" s="188"/>
      <c r="DWQ38" s="188"/>
      <c r="DWR38" s="188"/>
      <c r="DWS38" s="188"/>
      <c r="DWT38" s="188"/>
      <c r="DWU38" s="188"/>
      <c r="DWV38" s="188"/>
      <c r="DWW38" s="188"/>
      <c r="DWX38" s="188"/>
      <c r="DWY38" s="188"/>
      <c r="DWZ38" s="188"/>
      <c r="DXA38" s="188"/>
      <c r="DXB38" s="188"/>
      <c r="DXC38" s="188"/>
      <c r="DXD38" s="188"/>
      <c r="DXG38" s="188"/>
      <c r="DXJ38" s="188"/>
      <c r="DXM38" s="188"/>
      <c r="DXN38" s="188"/>
      <c r="DXO38" s="188"/>
      <c r="DXP38" s="188"/>
      <c r="DXQ38" s="188"/>
      <c r="DXR38" s="188"/>
      <c r="DXS38" s="188"/>
      <c r="DXT38" s="188"/>
      <c r="DXU38" s="188"/>
      <c r="DXW38" s="188"/>
      <c r="DXX38" s="188"/>
      <c r="DXY38" s="188"/>
      <c r="DXZ38" s="188"/>
      <c r="DYA38" s="188"/>
      <c r="DYB38" s="188"/>
      <c r="DYC38" s="188"/>
      <c r="DYD38" s="188"/>
      <c r="DYE38" s="188"/>
      <c r="DYF38" s="188"/>
      <c r="DYG38" s="188"/>
      <c r="DYH38" s="188"/>
      <c r="DYI38" s="188"/>
      <c r="DYJ38" s="188"/>
      <c r="DYK38" s="188"/>
      <c r="DYL38" s="188"/>
      <c r="DYM38" s="188"/>
      <c r="DYN38" s="188"/>
      <c r="DYO38" s="188"/>
      <c r="DYP38" s="188"/>
      <c r="DYQ38" s="188"/>
      <c r="DYR38" s="188"/>
      <c r="DYS38" s="188"/>
      <c r="DYT38" s="188"/>
      <c r="DYU38" s="188"/>
      <c r="DYV38" s="188"/>
      <c r="DYW38" s="188"/>
      <c r="DYX38" s="188"/>
      <c r="DYY38" s="188"/>
      <c r="DYZ38" s="188"/>
      <c r="DZA38" s="188"/>
      <c r="DZB38" s="188"/>
      <c r="DZC38" s="188"/>
      <c r="DZD38" s="188"/>
      <c r="DZE38" s="188"/>
      <c r="DZF38" s="188"/>
      <c r="DZG38" s="188"/>
      <c r="DZH38" s="188"/>
      <c r="DZI38" s="188"/>
      <c r="DZJ38" s="188"/>
      <c r="DZK38" s="188"/>
      <c r="DZL38" s="188"/>
      <c r="DZM38" s="188"/>
      <c r="DZN38" s="188"/>
      <c r="DZO38" s="188"/>
      <c r="DZP38" s="188"/>
      <c r="DZQ38" s="188"/>
      <c r="DZR38" s="188"/>
      <c r="DZS38" s="188"/>
      <c r="DZT38" s="188"/>
      <c r="DZU38" s="188"/>
      <c r="DZV38" s="188"/>
      <c r="DZW38" s="188"/>
      <c r="DZX38" s="188"/>
      <c r="DZY38" s="188"/>
      <c r="DZZ38" s="188"/>
      <c r="EAA38" s="188"/>
      <c r="EAB38" s="188"/>
      <c r="EAC38" s="188"/>
      <c r="EAD38" s="188"/>
      <c r="EAE38" s="188"/>
      <c r="EAF38" s="188"/>
      <c r="EAG38" s="188"/>
      <c r="EAH38" s="188"/>
      <c r="EAI38" s="188"/>
      <c r="EAJ38" s="188"/>
      <c r="EAK38" s="188"/>
      <c r="EAL38" s="188"/>
      <c r="EAM38" s="188"/>
      <c r="EAN38" s="188"/>
      <c r="EAO38" s="188"/>
      <c r="EAP38" s="188"/>
      <c r="EAQ38" s="188"/>
      <c r="EAR38" s="188"/>
      <c r="EAS38" s="188"/>
      <c r="EAT38" s="188"/>
      <c r="EAU38" s="188"/>
      <c r="EAV38" s="188"/>
      <c r="EAW38" s="188"/>
      <c r="EAX38" s="188"/>
      <c r="EAY38" s="188"/>
      <c r="EAZ38" s="188"/>
      <c r="EBA38" s="188"/>
      <c r="EBB38" s="188"/>
      <c r="EBC38" s="188"/>
      <c r="EBD38" s="188"/>
      <c r="EBE38" s="188"/>
      <c r="EBF38" s="188"/>
      <c r="EBG38" s="188"/>
      <c r="EBH38" s="188"/>
      <c r="EBI38" s="188"/>
      <c r="EBJ38" s="188"/>
      <c r="EBK38" s="188"/>
      <c r="EBL38" s="188"/>
      <c r="EBM38" s="188"/>
      <c r="EBN38" s="188"/>
      <c r="EBO38" s="188"/>
      <c r="EBP38" s="188"/>
      <c r="EBQ38" s="188"/>
      <c r="EBR38" s="188"/>
      <c r="EBS38" s="188"/>
      <c r="EBT38" s="188"/>
      <c r="EBU38" s="188"/>
      <c r="EBV38" s="188"/>
      <c r="EBW38" s="188"/>
      <c r="EBX38" s="188"/>
      <c r="EBY38" s="188"/>
      <c r="EBZ38" s="188"/>
      <c r="ECA38" s="188"/>
      <c r="ECB38" s="188"/>
      <c r="ECC38" s="188"/>
      <c r="ECD38" s="188"/>
      <c r="ECE38" s="188"/>
      <c r="ECF38" s="188"/>
      <c r="ECG38" s="188"/>
      <c r="ECH38" s="188"/>
      <c r="ECI38" s="188"/>
      <c r="ECJ38" s="188"/>
      <c r="ECK38" s="188"/>
      <c r="ECL38" s="188"/>
      <c r="ECM38" s="188"/>
      <c r="ECN38" s="188"/>
      <c r="ECO38" s="188"/>
      <c r="ECP38" s="188"/>
      <c r="ECQ38" s="188"/>
      <c r="ECR38" s="188"/>
      <c r="ECS38" s="188"/>
      <c r="ECT38" s="188"/>
      <c r="ECU38" s="188"/>
      <c r="ECV38" s="188"/>
      <c r="ECW38" s="188"/>
      <c r="ECX38" s="188"/>
      <c r="ECY38" s="188"/>
      <c r="ECZ38" s="188"/>
      <c r="EDA38" s="188"/>
      <c r="EDB38" s="188"/>
      <c r="EDC38" s="188"/>
      <c r="EDD38" s="188"/>
      <c r="EDE38" s="188"/>
      <c r="EDF38" s="188"/>
      <c r="EDG38" s="188"/>
      <c r="EDH38" s="188"/>
      <c r="EDI38" s="188"/>
      <c r="EDJ38" s="188"/>
      <c r="EDK38" s="188"/>
      <c r="EDL38" s="188"/>
      <c r="EDM38" s="188"/>
      <c r="EDN38" s="188"/>
      <c r="EDO38" s="188"/>
      <c r="EDP38" s="188"/>
      <c r="EDQ38" s="188"/>
      <c r="EDR38" s="188"/>
      <c r="EDS38" s="188"/>
      <c r="EDT38" s="188"/>
      <c r="EDU38" s="188"/>
      <c r="EDV38" s="188"/>
      <c r="EDW38" s="188"/>
      <c r="EDX38" s="188"/>
      <c r="EDY38" s="188"/>
      <c r="EDZ38" s="188"/>
      <c r="EEA38" s="188"/>
      <c r="EEB38" s="188"/>
      <c r="EEC38" s="188"/>
      <c r="EED38" s="188"/>
      <c r="EEE38" s="188"/>
      <c r="EEF38" s="188"/>
      <c r="EEG38" s="188"/>
      <c r="EEH38" s="188"/>
      <c r="EEI38" s="188"/>
      <c r="EEJ38" s="188"/>
      <c r="EEK38" s="188"/>
      <c r="EEL38" s="188"/>
      <c r="EEM38" s="188"/>
      <c r="EEN38" s="188"/>
      <c r="EEO38" s="188"/>
      <c r="EEP38" s="188"/>
      <c r="EEQ38" s="188"/>
      <c r="EER38" s="188"/>
      <c r="EES38" s="188"/>
      <c r="EET38" s="188"/>
      <c r="EEU38" s="188"/>
      <c r="EEV38" s="188"/>
      <c r="EEW38" s="188"/>
      <c r="EEX38" s="188"/>
      <c r="EEY38" s="188"/>
      <c r="EEZ38" s="188"/>
      <c r="EFA38" s="188"/>
      <c r="EFB38" s="188"/>
      <c r="EFC38" s="188"/>
      <c r="EFD38" s="188"/>
      <c r="EFE38" s="188"/>
      <c r="EFF38" s="188"/>
      <c r="EFG38" s="188"/>
      <c r="EFH38" s="188"/>
      <c r="EFI38" s="188"/>
      <c r="EFJ38" s="188"/>
      <c r="EFK38" s="188"/>
      <c r="EFL38" s="188"/>
      <c r="EFM38" s="188"/>
      <c r="EFN38" s="188"/>
      <c r="EFO38" s="188"/>
      <c r="EFP38" s="188"/>
      <c r="EFQ38" s="188"/>
      <c r="EFR38" s="188"/>
      <c r="EFS38" s="188"/>
      <c r="EFT38" s="188"/>
      <c r="EFU38" s="188"/>
      <c r="EFV38" s="188"/>
      <c r="EFW38" s="188"/>
      <c r="EFX38" s="188"/>
      <c r="EFY38" s="188"/>
      <c r="EFZ38" s="188"/>
      <c r="EGA38" s="188"/>
      <c r="EGB38" s="188"/>
      <c r="EGC38" s="188"/>
      <c r="EGD38" s="188"/>
      <c r="EGE38" s="188"/>
      <c r="EGF38" s="188"/>
      <c r="EGG38" s="188"/>
      <c r="EGH38" s="188"/>
      <c r="EGI38" s="188"/>
      <c r="EGJ38" s="188"/>
      <c r="EGK38" s="188"/>
      <c r="EGL38" s="188"/>
      <c r="EGM38" s="188"/>
      <c r="EGN38" s="188"/>
      <c r="EGO38" s="188"/>
      <c r="EGP38" s="188"/>
      <c r="EGQ38" s="188"/>
      <c r="EGR38" s="188"/>
      <c r="EGS38" s="188"/>
      <c r="EGT38" s="188"/>
      <c r="EGU38" s="188"/>
      <c r="EGV38" s="188"/>
      <c r="EGW38" s="188"/>
      <c r="EGX38" s="188"/>
      <c r="EGY38" s="188"/>
      <c r="EGZ38" s="188"/>
      <c r="EHC38" s="188"/>
      <c r="EHF38" s="188"/>
      <c r="EHI38" s="188"/>
      <c r="EHJ38" s="188"/>
      <c r="EHK38" s="188"/>
      <c r="EHL38" s="188"/>
      <c r="EHM38" s="188"/>
      <c r="EHN38" s="188"/>
      <c r="EHO38" s="188"/>
      <c r="EHP38" s="188"/>
      <c r="EHQ38" s="188"/>
      <c r="EHS38" s="188"/>
      <c r="EHT38" s="188"/>
      <c r="EHU38" s="188"/>
      <c r="EHV38" s="188"/>
      <c r="EHW38" s="188"/>
      <c r="EHX38" s="188"/>
      <c r="EHY38" s="188"/>
      <c r="EHZ38" s="188"/>
      <c r="EIA38" s="188"/>
      <c r="EIB38" s="188"/>
      <c r="EIC38" s="188"/>
      <c r="EID38" s="188"/>
      <c r="EIE38" s="188"/>
      <c r="EIF38" s="188"/>
      <c r="EIG38" s="188"/>
      <c r="EIH38" s="188"/>
      <c r="EII38" s="188"/>
      <c r="EIJ38" s="188"/>
      <c r="EIK38" s="188"/>
      <c r="EIL38" s="188"/>
      <c r="EIM38" s="188"/>
      <c r="EIN38" s="188"/>
      <c r="EIO38" s="188"/>
      <c r="EIP38" s="188"/>
      <c r="EIQ38" s="188"/>
      <c r="EIR38" s="188"/>
      <c r="EIS38" s="188"/>
      <c r="EIT38" s="188"/>
      <c r="EIU38" s="188"/>
      <c r="EIV38" s="188"/>
      <c r="EIW38" s="188"/>
      <c r="EIX38" s="188"/>
      <c r="EIY38" s="188"/>
      <c r="EIZ38" s="188"/>
      <c r="EJA38" s="188"/>
      <c r="EJB38" s="188"/>
      <c r="EJC38" s="188"/>
      <c r="EJD38" s="188"/>
      <c r="EJE38" s="188"/>
      <c r="EJF38" s="188"/>
      <c r="EJG38" s="188"/>
      <c r="EJH38" s="188"/>
      <c r="EJI38" s="188"/>
      <c r="EJJ38" s="188"/>
      <c r="EJK38" s="188"/>
      <c r="EJL38" s="188"/>
      <c r="EJM38" s="188"/>
      <c r="EJN38" s="188"/>
      <c r="EJO38" s="188"/>
      <c r="EJP38" s="188"/>
      <c r="EJQ38" s="188"/>
      <c r="EJR38" s="188"/>
      <c r="EJS38" s="188"/>
      <c r="EJT38" s="188"/>
      <c r="EJU38" s="188"/>
      <c r="EJV38" s="188"/>
      <c r="EJW38" s="188"/>
      <c r="EJX38" s="188"/>
      <c r="EJY38" s="188"/>
      <c r="EJZ38" s="188"/>
      <c r="EKA38" s="188"/>
      <c r="EKB38" s="188"/>
      <c r="EKC38" s="188"/>
      <c r="EKD38" s="188"/>
      <c r="EKE38" s="188"/>
      <c r="EKF38" s="188"/>
      <c r="EKG38" s="188"/>
      <c r="EKH38" s="188"/>
      <c r="EKI38" s="188"/>
      <c r="EKJ38" s="188"/>
      <c r="EKK38" s="188"/>
      <c r="EKL38" s="188"/>
      <c r="EKM38" s="188"/>
      <c r="EKN38" s="188"/>
      <c r="EKO38" s="188"/>
      <c r="EKP38" s="188"/>
      <c r="EKQ38" s="188"/>
      <c r="EKR38" s="188"/>
      <c r="EKS38" s="188"/>
      <c r="EKT38" s="188"/>
      <c r="EKU38" s="188"/>
      <c r="EKV38" s="188"/>
      <c r="EKW38" s="188"/>
      <c r="EKX38" s="188"/>
      <c r="EKY38" s="188"/>
      <c r="EKZ38" s="188"/>
      <c r="ELA38" s="188"/>
      <c r="ELB38" s="188"/>
      <c r="ELC38" s="188"/>
      <c r="ELD38" s="188"/>
      <c r="ELE38" s="188"/>
      <c r="ELF38" s="188"/>
      <c r="ELG38" s="188"/>
      <c r="ELH38" s="188"/>
      <c r="ELI38" s="188"/>
      <c r="ELJ38" s="188"/>
      <c r="ELK38" s="188"/>
      <c r="ELL38" s="188"/>
      <c r="ELM38" s="188"/>
      <c r="ELN38" s="188"/>
      <c r="ELO38" s="188"/>
      <c r="ELP38" s="188"/>
      <c r="ELQ38" s="188"/>
      <c r="ELR38" s="188"/>
      <c r="ELS38" s="188"/>
      <c r="ELT38" s="188"/>
      <c r="ELU38" s="188"/>
      <c r="ELV38" s="188"/>
      <c r="ELW38" s="188"/>
      <c r="ELX38" s="188"/>
      <c r="ELY38" s="188"/>
      <c r="ELZ38" s="188"/>
      <c r="EMA38" s="188"/>
      <c r="EMB38" s="188"/>
      <c r="EMC38" s="188"/>
      <c r="EMD38" s="188"/>
      <c r="EME38" s="188"/>
      <c r="EMF38" s="188"/>
      <c r="EMG38" s="188"/>
      <c r="EMH38" s="188"/>
      <c r="EMI38" s="188"/>
      <c r="EMJ38" s="188"/>
      <c r="EMK38" s="188"/>
      <c r="EML38" s="188"/>
      <c r="EMM38" s="188"/>
      <c r="EMN38" s="188"/>
      <c r="EMO38" s="188"/>
      <c r="EMP38" s="188"/>
      <c r="EMQ38" s="188"/>
      <c r="EMR38" s="188"/>
      <c r="EMS38" s="188"/>
      <c r="EMT38" s="188"/>
      <c r="EMU38" s="188"/>
      <c r="EMV38" s="188"/>
      <c r="EMW38" s="188"/>
      <c r="EMX38" s="188"/>
      <c r="EMY38" s="188"/>
      <c r="EMZ38" s="188"/>
      <c r="ENA38" s="188"/>
      <c r="ENB38" s="188"/>
      <c r="ENC38" s="188"/>
      <c r="END38" s="188"/>
      <c r="ENE38" s="188"/>
      <c r="ENF38" s="188"/>
      <c r="ENG38" s="188"/>
      <c r="ENH38" s="188"/>
      <c r="ENI38" s="188"/>
      <c r="ENJ38" s="188"/>
      <c r="ENK38" s="188"/>
      <c r="ENL38" s="188"/>
      <c r="ENM38" s="188"/>
      <c r="ENN38" s="188"/>
      <c r="ENO38" s="188"/>
      <c r="ENP38" s="188"/>
      <c r="ENQ38" s="188"/>
      <c r="ENR38" s="188"/>
      <c r="ENS38" s="188"/>
      <c r="ENT38" s="188"/>
      <c r="ENU38" s="188"/>
      <c r="ENV38" s="188"/>
      <c r="ENW38" s="188"/>
      <c r="ENX38" s="188"/>
      <c r="ENY38" s="188"/>
      <c r="ENZ38" s="188"/>
      <c r="EOA38" s="188"/>
      <c r="EOB38" s="188"/>
      <c r="EOC38" s="188"/>
      <c r="EOD38" s="188"/>
      <c r="EOE38" s="188"/>
      <c r="EOF38" s="188"/>
      <c r="EOG38" s="188"/>
      <c r="EOH38" s="188"/>
      <c r="EOI38" s="188"/>
      <c r="EOJ38" s="188"/>
      <c r="EOK38" s="188"/>
      <c r="EOL38" s="188"/>
      <c r="EOM38" s="188"/>
      <c r="EON38" s="188"/>
      <c r="EOO38" s="188"/>
      <c r="EOP38" s="188"/>
      <c r="EOQ38" s="188"/>
      <c r="EOR38" s="188"/>
      <c r="EOS38" s="188"/>
      <c r="EOT38" s="188"/>
      <c r="EOU38" s="188"/>
      <c r="EOV38" s="188"/>
      <c r="EOW38" s="188"/>
      <c r="EOX38" s="188"/>
      <c r="EOY38" s="188"/>
      <c r="EOZ38" s="188"/>
      <c r="EPA38" s="188"/>
      <c r="EPB38" s="188"/>
      <c r="EPC38" s="188"/>
      <c r="EPD38" s="188"/>
      <c r="EPE38" s="188"/>
      <c r="EPF38" s="188"/>
      <c r="EPG38" s="188"/>
      <c r="EPH38" s="188"/>
      <c r="EPI38" s="188"/>
      <c r="EPJ38" s="188"/>
      <c r="EPK38" s="188"/>
      <c r="EPL38" s="188"/>
      <c r="EPM38" s="188"/>
      <c r="EPN38" s="188"/>
      <c r="EPO38" s="188"/>
      <c r="EPP38" s="188"/>
      <c r="EPQ38" s="188"/>
      <c r="EPR38" s="188"/>
      <c r="EPS38" s="188"/>
      <c r="EPT38" s="188"/>
      <c r="EPU38" s="188"/>
      <c r="EPV38" s="188"/>
      <c r="EPW38" s="188"/>
      <c r="EPX38" s="188"/>
      <c r="EPY38" s="188"/>
      <c r="EPZ38" s="188"/>
      <c r="EQA38" s="188"/>
      <c r="EQB38" s="188"/>
      <c r="EQC38" s="188"/>
      <c r="EQD38" s="188"/>
      <c r="EQE38" s="188"/>
      <c r="EQF38" s="188"/>
      <c r="EQG38" s="188"/>
      <c r="EQH38" s="188"/>
      <c r="EQI38" s="188"/>
      <c r="EQJ38" s="188"/>
      <c r="EQK38" s="188"/>
      <c r="EQL38" s="188"/>
      <c r="EQM38" s="188"/>
      <c r="EQN38" s="188"/>
      <c r="EQO38" s="188"/>
      <c r="EQP38" s="188"/>
      <c r="EQQ38" s="188"/>
      <c r="EQR38" s="188"/>
      <c r="EQS38" s="188"/>
      <c r="EQT38" s="188"/>
      <c r="EQU38" s="188"/>
      <c r="EQV38" s="188"/>
      <c r="EQY38" s="188"/>
      <c r="ERB38" s="188"/>
      <c r="ERE38" s="188"/>
      <c r="ERF38" s="188"/>
      <c r="ERG38" s="188"/>
      <c r="ERH38" s="188"/>
      <c r="ERI38" s="188"/>
      <c r="ERJ38" s="188"/>
      <c r="ERK38" s="188"/>
      <c r="ERL38" s="188"/>
      <c r="ERM38" s="188"/>
      <c r="ERO38" s="188"/>
      <c r="ERP38" s="188"/>
      <c r="ERQ38" s="188"/>
      <c r="ERR38" s="188"/>
      <c r="ERS38" s="188"/>
      <c r="ERT38" s="188"/>
      <c r="ERU38" s="188"/>
      <c r="ERV38" s="188"/>
      <c r="ERW38" s="188"/>
      <c r="ERX38" s="188"/>
      <c r="ERY38" s="188"/>
      <c r="ERZ38" s="188"/>
      <c r="ESA38" s="188"/>
      <c r="ESB38" s="188"/>
      <c r="ESC38" s="188"/>
      <c r="ESD38" s="188"/>
      <c r="ESE38" s="188"/>
      <c r="ESF38" s="188"/>
      <c r="ESG38" s="188"/>
      <c r="ESH38" s="188"/>
      <c r="ESI38" s="188"/>
      <c r="ESJ38" s="188"/>
      <c r="ESK38" s="188"/>
      <c r="ESL38" s="188"/>
      <c r="ESM38" s="188"/>
      <c r="ESN38" s="188"/>
      <c r="ESO38" s="188"/>
      <c r="ESP38" s="188"/>
      <c r="ESQ38" s="188"/>
      <c r="ESR38" s="188"/>
      <c r="ESS38" s="188"/>
      <c r="EST38" s="188"/>
      <c r="ESU38" s="188"/>
      <c r="ESV38" s="188"/>
      <c r="ESW38" s="188"/>
      <c r="ESX38" s="188"/>
      <c r="ESY38" s="188"/>
      <c r="ESZ38" s="188"/>
      <c r="ETA38" s="188"/>
      <c r="ETB38" s="188"/>
      <c r="ETC38" s="188"/>
      <c r="ETD38" s="188"/>
      <c r="ETE38" s="188"/>
      <c r="ETF38" s="188"/>
      <c r="ETG38" s="188"/>
      <c r="ETH38" s="188"/>
      <c r="ETI38" s="188"/>
      <c r="ETJ38" s="188"/>
      <c r="ETK38" s="188"/>
      <c r="ETL38" s="188"/>
      <c r="ETM38" s="188"/>
      <c r="ETN38" s="188"/>
      <c r="ETO38" s="188"/>
      <c r="ETP38" s="188"/>
      <c r="ETQ38" s="188"/>
      <c r="ETR38" s="188"/>
      <c r="ETS38" s="188"/>
      <c r="ETT38" s="188"/>
      <c r="ETU38" s="188"/>
      <c r="ETV38" s="188"/>
      <c r="ETW38" s="188"/>
      <c r="ETX38" s="188"/>
      <c r="ETY38" s="188"/>
      <c r="ETZ38" s="188"/>
      <c r="EUA38" s="188"/>
      <c r="EUB38" s="188"/>
      <c r="EUC38" s="188"/>
      <c r="EUD38" s="188"/>
      <c r="EUE38" s="188"/>
      <c r="EUF38" s="188"/>
      <c r="EUG38" s="188"/>
      <c r="EUH38" s="188"/>
      <c r="EUI38" s="188"/>
      <c r="EUJ38" s="188"/>
      <c r="EUK38" s="188"/>
      <c r="EUL38" s="188"/>
      <c r="EUM38" s="188"/>
      <c r="EUN38" s="188"/>
      <c r="EUO38" s="188"/>
      <c r="EUP38" s="188"/>
      <c r="EUQ38" s="188"/>
      <c r="EUR38" s="188"/>
      <c r="EUS38" s="188"/>
      <c r="EUT38" s="188"/>
      <c r="EUU38" s="188"/>
      <c r="EUV38" s="188"/>
      <c r="EUW38" s="188"/>
      <c r="EUX38" s="188"/>
      <c r="EUY38" s="188"/>
      <c r="EUZ38" s="188"/>
      <c r="EVA38" s="188"/>
      <c r="EVB38" s="188"/>
      <c r="EVC38" s="188"/>
      <c r="EVD38" s="188"/>
      <c r="EVE38" s="188"/>
      <c r="EVF38" s="188"/>
      <c r="EVG38" s="188"/>
      <c r="EVH38" s="188"/>
      <c r="EVI38" s="188"/>
      <c r="EVJ38" s="188"/>
      <c r="EVK38" s="188"/>
      <c r="EVL38" s="188"/>
      <c r="EVM38" s="188"/>
      <c r="EVN38" s="188"/>
      <c r="EVO38" s="188"/>
      <c r="EVP38" s="188"/>
      <c r="EVQ38" s="188"/>
      <c r="EVR38" s="188"/>
      <c r="EVS38" s="188"/>
      <c r="EVT38" s="188"/>
      <c r="EVU38" s="188"/>
      <c r="EVV38" s="188"/>
      <c r="EVW38" s="188"/>
      <c r="EVX38" s="188"/>
      <c r="EVY38" s="188"/>
      <c r="EVZ38" s="188"/>
      <c r="EWA38" s="188"/>
      <c r="EWB38" s="188"/>
      <c r="EWC38" s="188"/>
      <c r="EWD38" s="188"/>
      <c r="EWE38" s="188"/>
      <c r="EWF38" s="188"/>
      <c r="EWG38" s="188"/>
      <c r="EWH38" s="188"/>
      <c r="EWI38" s="188"/>
      <c r="EWJ38" s="188"/>
      <c r="EWK38" s="188"/>
      <c r="EWL38" s="188"/>
      <c r="EWM38" s="188"/>
      <c r="EWN38" s="188"/>
      <c r="EWO38" s="188"/>
      <c r="EWP38" s="188"/>
      <c r="EWQ38" s="188"/>
      <c r="EWR38" s="188"/>
      <c r="EWS38" s="188"/>
      <c r="EWT38" s="188"/>
      <c r="EWU38" s="188"/>
      <c r="EWV38" s="188"/>
      <c r="EWW38" s="188"/>
      <c r="EWX38" s="188"/>
      <c r="EWY38" s="188"/>
      <c r="EWZ38" s="188"/>
      <c r="EXA38" s="188"/>
      <c r="EXB38" s="188"/>
      <c r="EXC38" s="188"/>
      <c r="EXD38" s="188"/>
      <c r="EXE38" s="188"/>
      <c r="EXF38" s="188"/>
      <c r="EXG38" s="188"/>
      <c r="EXH38" s="188"/>
      <c r="EXI38" s="188"/>
      <c r="EXJ38" s="188"/>
      <c r="EXK38" s="188"/>
      <c r="EXL38" s="188"/>
      <c r="EXM38" s="188"/>
      <c r="EXN38" s="188"/>
      <c r="EXO38" s="188"/>
      <c r="EXP38" s="188"/>
      <c r="EXQ38" s="188"/>
      <c r="EXR38" s="188"/>
      <c r="EXS38" s="188"/>
      <c r="EXT38" s="188"/>
      <c r="EXU38" s="188"/>
      <c r="EXV38" s="188"/>
      <c r="EXW38" s="188"/>
      <c r="EXX38" s="188"/>
      <c r="EXY38" s="188"/>
      <c r="EXZ38" s="188"/>
      <c r="EYA38" s="188"/>
      <c r="EYB38" s="188"/>
      <c r="EYC38" s="188"/>
      <c r="EYD38" s="188"/>
      <c r="EYE38" s="188"/>
      <c r="EYF38" s="188"/>
      <c r="EYG38" s="188"/>
      <c r="EYH38" s="188"/>
      <c r="EYI38" s="188"/>
      <c r="EYJ38" s="188"/>
      <c r="EYK38" s="188"/>
      <c r="EYL38" s="188"/>
      <c r="EYM38" s="188"/>
      <c r="EYN38" s="188"/>
      <c r="EYO38" s="188"/>
      <c r="EYP38" s="188"/>
      <c r="EYQ38" s="188"/>
      <c r="EYR38" s="188"/>
      <c r="EYS38" s="188"/>
      <c r="EYT38" s="188"/>
      <c r="EYU38" s="188"/>
      <c r="EYV38" s="188"/>
      <c r="EYW38" s="188"/>
      <c r="EYX38" s="188"/>
      <c r="EYY38" s="188"/>
      <c r="EYZ38" s="188"/>
      <c r="EZA38" s="188"/>
      <c r="EZB38" s="188"/>
      <c r="EZC38" s="188"/>
      <c r="EZD38" s="188"/>
      <c r="EZE38" s="188"/>
      <c r="EZF38" s="188"/>
      <c r="EZG38" s="188"/>
      <c r="EZH38" s="188"/>
      <c r="EZI38" s="188"/>
      <c r="EZJ38" s="188"/>
      <c r="EZK38" s="188"/>
      <c r="EZL38" s="188"/>
      <c r="EZM38" s="188"/>
      <c r="EZN38" s="188"/>
      <c r="EZO38" s="188"/>
      <c r="EZP38" s="188"/>
      <c r="EZQ38" s="188"/>
      <c r="EZR38" s="188"/>
      <c r="EZS38" s="188"/>
      <c r="EZT38" s="188"/>
      <c r="EZU38" s="188"/>
      <c r="EZV38" s="188"/>
      <c r="EZW38" s="188"/>
      <c r="EZX38" s="188"/>
      <c r="EZY38" s="188"/>
      <c r="EZZ38" s="188"/>
      <c r="FAA38" s="188"/>
      <c r="FAB38" s="188"/>
      <c r="FAC38" s="188"/>
      <c r="FAD38" s="188"/>
      <c r="FAE38" s="188"/>
      <c r="FAF38" s="188"/>
      <c r="FAG38" s="188"/>
      <c r="FAH38" s="188"/>
      <c r="FAI38" s="188"/>
      <c r="FAJ38" s="188"/>
      <c r="FAK38" s="188"/>
      <c r="FAL38" s="188"/>
      <c r="FAM38" s="188"/>
      <c r="FAN38" s="188"/>
      <c r="FAO38" s="188"/>
      <c r="FAP38" s="188"/>
      <c r="FAQ38" s="188"/>
      <c r="FAR38" s="188"/>
      <c r="FAU38" s="188"/>
      <c r="FAX38" s="188"/>
      <c r="FBA38" s="188"/>
      <c r="FBB38" s="188"/>
      <c r="FBC38" s="188"/>
      <c r="FBD38" s="188"/>
      <c r="FBE38" s="188"/>
      <c r="FBF38" s="188"/>
      <c r="FBG38" s="188"/>
      <c r="FBH38" s="188"/>
      <c r="FBI38" s="188"/>
      <c r="FBK38" s="188"/>
      <c r="FBL38" s="188"/>
      <c r="FBM38" s="188"/>
      <c r="FBN38" s="188"/>
      <c r="FBO38" s="188"/>
      <c r="FBP38" s="188"/>
      <c r="FBQ38" s="188"/>
      <c r="FBR38" s="188"/>
      <c r="FBS38" s="188"/>
      <c r="FBT38" s="188"/>
      <c r="FBU38" s="188"/>
      <c r="FBV38" s="188"/>
      <c r="FBW38" s="188"/>
      <c r="FBX38" s="188"/>
      <c r="FBY38" s="188"/>
      <c r="FBZ38" s="188"/>
      <c r="FCA38" s="188"/>
      <c r="FCB38" s="188"/>
      <c r="FCC38" s="188"/>
      <c r="FCD38" s="188"/>
      <c r="FCE38" s="188"/>
      <c r="FCF38" s="188"/>
      <c r="FCG38" s="188"/>
      <c r="FCH38" s="188"/>
      <c r="FCI38" s="188"/>
      <c r="FCJ38" s="188"/>
      <c r="FCK38" s="188"/>
      <c r="FCL38" s="188"/>
      <c r="FCM38" s="188"/>
      <c r="FCN38" s="188"/>
      <c r="FCO38" s="188"/>
      <c r="FCP38" s="188"/>
      <c r="FCQ38" s="188"/>
      <c r="FCR38" s="188"/>
      <c r="FCS38" s="188"/>
      <c r="FCT38" s="188"/>
      <c r="FCU38" s="188"/>
      <c r="FCV38" s="188"/>
      <c r="FCW38" s="188"/>
      <c r="FCX38" s="188"/>
      <c r="FCY38" s="188"/>
      <c r="FCZ38" s="188"/>
      <c r="FDA38" s="188"/>
      <c r="FDB38" s="188"/>
      <c r="FDC38" s="188"/>
      <c r="FDD38" s="188"/>
      <c r="FDE38" s="188"/>
      <c r="FDF38" s="188"/>
      <c r="FDG38" s="188"/>
      <c r="FDH38" s="188"/>
      <c r="FDI38" s="188"/>
      <c r="FDJ38" s="188"/>
      <c r="FDK38" s="188"/>
      <c r="FDL38" s="188"/>
      <c r="FDM38" s="188"/>
      <c r="FDN38" s="188"/>
      <c r="FDO38" s="188"/>
      <c r="FDP38" s="188"/>
      <c r="FDQ38" s="188"/>
      <c r="FDR38" s="188"/>
      <c r="FDS38" s="188"/>
      <c r="FDT38" s="188"/>
      <c r="FDU38" s="188"/>
      <c r="FDV38" s="188"/>
      <c r="FDW38" s="188"/>
      <c r="FDX38" s="188"/>
      <c r="FDY38" s="188"/>
      <c r="FDZ38" s="188"/>
      <c r="FEA38" s="188"/>
      <c r="FEB38" s="188"/>
      <c r="FEC38" s="188"/>
      <c r="FED38" s="188"/>
      <c r="FEE38" s="188"/>
      <c r="FEF38" s="188"/>
      <c r="FEG38" s="188"/>
      <c r="FEH38" s="188"/>
      <c r="FEI38" s="188"/>
      <c r="FEJ38" s="188"/>
      <c r="FEK38" s="188"/>
      <c r="FEL38" s="188"/>
      <c r="FEM38" s="188"/>
      <c r="FEN38" s="188"/>
      <c r="FEO38" s="188"/>
      <c r="FEP38" s="188"/>
      <c r="FEQ38" s="188"/>
      <c r="FER38" s="188"/>
      <c r="FES38" s="188"/>
      <c r="FET38" s="188"/>
      <c r="FEU38" s="188"/>
      <c r="FEV38" s="188"/>
      <c r="FEW38" s="188"/>
      <c r="FEX38" s="188"/>
      <c r="FEY38" s="188"/>
      <c r="FEZ38" s="188"/>
      <c r="FFA38" s="188"/>
      <c r="FFB38" s="188"/>
      <c r="FFC38" s="188"/>
      <c r="FFD38" s="188"/>
      <c r="FFE38" s="188"/>
      <c r="FFF38" s="188"/>
      <c r="FFG38" s="188"/>
      <c r="FFH38" s="188"/>
      <c r="FFI38" s="188"/>
      <c r="FFJ38" s="188"/>
      <c r="FFK38" s="188"/>
      <c r="FFL38" s="188"/>
      <c r="FFM38" s="188"/>
      <c r="FFN38" s="188"/>
      <c r="FFO38" s="188"/>
      <c r="FFP38" s="188"/>
      <c r="FFQ38" s="188"/>
      <c r="FFR38" s="188"/>
      <c r="FFS38" s="188"/>
      <c r="FFT38" s="188"/>
      <c r="FFU38" s="188"/>
      <c r="FFV38" s="188"/>
      <c r="FFW38" s="188"/>
      <c r="FFX38" s="188"/>
      <c r="FFY38" s="188"/>
      <c r="FFZ38" s="188"/>
      <c r="FGA38" s="188"/>
      <c r="FGB38" s="188"/>
      <c r="FGC38" s="188"/>
      <c r="FGD38" s="188"/>
      <c r="FGE38" s="188"/>
      <c r="FGF38" s="188"/>
      <c r="FGG38" s="188"/>
      <c r="FGH38" s="188"/>
      <c r="FGI38" s="188"/>
      <c r="FGJ38" s="188"/>
      <c r="FGK38" s="188"/>
      <c r="FGL38" s="188"/>
      <c r="FGM38" s="188"/>
      <c r="FGN38" s="188"/>
      <c r="FGO38" s="188"/>
      <c r="FGP38" s="188"/>
      <c r="FGQ38" s="188"/>
      <c r="FGR38" s="188"/>
      <c r="FGS38" s="188"/>
      <c r="FGT38" s="188"/>
      <c r="FGU38" s="188"/>
      <c r="FGV38" s="188"/>
      <c r="FGW38" s="188"/>
      <c r="FGX38" s="188"/>
      <c r="FGY38" s="188"/>
      <c r="FGZ38" s="188"/>
      <c r="FHA38" s="188"/>
      <c r="FHB38" s="188"/>
      <c r="FHC38" s="188"/>
      <c r="FHD38" s="188"/>
      <c r="FHE38" s="188"/>
      <c r="FHF38" s="188"/>
      <c r="FHG38" s="188"/>
      <c r="FHH38" s="188"/>
      <c r="FHI38" s="188"/>
      <c r="FHJ38" s="188"/>
      <c r="FHK38" s="188"/>
      <c r="FHL38" s="188"/>
      <c r="FHM38" s="188"/>
      <c r="FHN38" s="188"/>
      <c r="FHO38" s="188"/>
      <c r="FHP38" s="188"/>
      <c r="FHQ38" s="188"/>
      <c r="FHR38" s="188"/>
      <c r="FHS38" s="188"/>
      <c r="FHT38" s="188"/>
      <c r="FHU38" s="188"/>
      <c r="FHV38" s="188"/>
      <c r="FHW38" s="188"/>
      <c r="FHX38" s="188"/>
      <c r="FHY38" s="188"/>
      <c r="FHZ38" s="188"/>
      <c r="FIA38" s="188"/>
      <c r="FIB38" s="188"/>
      <c r="FIC38" s="188"/>
      <c r="FID38" s="188"/>
      <c r="FIE38" s="188"/>
      <c r="FIF38" s="188"/>
      <c r="FIG38" s="188"/>
      <c r="FIH38" s="188"/>
      <c r="FII38" s="188"/>
      <c r="FIJ38" s="188"/>
      <c r="FIK38" s="188"/>
      <c r="FIL38" s="188"/>
      <c r="FIM38" s="188"/>
      <c r="FIN38" s="188"/>
      <c r="FIO38" s="188"/>
      <c r="FIP38" s="188"/>
      <c r="FIQ38" s="188"/>
      <c r="FIR38" s="188"/>
      <c r="FIS38" s="188"/>
      <c r="FIT38" s="188"/>
      <c r="FIU38" s="188"/>
      <c r="FIV38" s="188"/>
      <c r="FIW38" s="188"/>
      <c r="FIX38" s="188"/>
      <c r="FIY38" s="188"/>
      <c r="FIZ38" s="188"/>
      <c r="FJA38" s="188"/>
      <c r="FJB38" s="188"/>
      <c r="FJC38" s="188"/>
      <c r="FJD38" s="188"/>
      <c r="FJE38" s="188"/>
      <c r="FJF38" s="188"/>
      <c r="FJG38" s="188"/>
      <c r="FJH38" s="188"/>
      <c r="FJI38" s="188"/>
      <c r="FJJ38" s="188"/>
      <c r="FJK38" s="188"/>
      <c r="FJL38" s="188"/>
      <c r="FJM38" s="188"/>
      <c r="FJN38" s="188"/>
      <c r="FJO38" s="188"/>
      <c r="FJP38" s="188"/>
      <c r="FJQ38" s="188"/>
      <c r="FJR38" s="188"/>
      <c r="FJS38" s="188"/>
      <c r="FJT38" s="188"/>
      <c r="FJU38" s="188"/>
      <c r="FJV38" s="188"/>
      <c r="FJW38" s="188"/>
      <c r="FJX38" s="188"/>
      <c r="FJY38" s="188"/>
      <c r="FJZ38" s="188"/>
      <c r="FKA38" s="188"/>
      <c r="FKB38" s="188"/>
      <c r="FKC38" s="188"/>
      <c r="FKD38" s="188"/>
      <c r="FKE38" s="188"/>
      <c r="FKF38" s="188"/>
      <c r="FKG38" s="188"/>
      <c r="FKH38" s="188"/>
      <c r="FKI38" s="188"/>
      <c r="FKJ38" s="188"/>
      <c r="FKK38" s="188"/>
      <c r="FKL38" s="188"/>
      <c r="FKM38" s="188"/>
      <c r="FKN38" s="188"/>
      <c r="FKQ38" s="188"/>
      <c r="FKT38" s="188"/>
      <c r="FKW38" s="188"/>
      <c r="FKX38" s="188"/>
      <c r="FKY38" s="188"/>
      <c r="FKZ38" s="188"/>
      <c r="FLA38" s="188"/>
      <c r="FLB38" s="188"/>
      <c r="FLC38" s="188"/>
      <c r="FLD38" s="188"/>
      <c r="FLE38" s="188"/>
      <c r="FLG38" s="188"/>
      <c r="FLH38" s="188"/>
      <c r="FLI38" s="188"/>
      <c r="FLJ38" s="188"/>
      <c r="FLK38" s="188"/>
      <c r="FLL38" s="188"/>
      <c r="FLM38" s="188"/>
      <c r="FLN38" s="188"/>
      <c r="FLO38" s="188"/>
      <c r="FLP38" s="188"/>
      <c r="FLQ38" s="188"/>
      <c r="FLR38" s="188"/>
      <c r="FLS38" s="188"/>
      <c r="FLT38" s="188"/>
      <c r="FLU38" s="188"/>
      <c r="FLV38" s="188"/>
      <c r="FLW38" s="188"/>
      <c r="FLX38" s="188"/>
      <c r="FLY38" s="188"/>
      <c r="FLZ38" s="188"/>
      <c r="FMA38" s="188"/>
      <c r="FMB38" s="188"/>
      <c r="FMC38" s="188"/>
      <c r="FMD38" s="188"/>
      <c r="FME38" s="188"/>
      <c r="FMF38" s="188"/>
      <c r="FMG38" s="188"/>
      <c r="FMH38" s="188"/>
      <c r="FMI38" s="188"/>
      <c r="FMJ38" s="188"/>
      <c r="FMK38" s="188"/>
      <c r="FML38" s="188"/>
      <c r="FMM38" s="188"/>
      <c r="FMN38" s="188"/>
      <c r="FMO38" s="188"/>
      <c r="FMP38" s="188"/>
      <c r="FMQ38" s="188"/>
      <c r="FMR38" s="188"/>
      <c r="FMS38" s="188"/>
      <c r="FMT38" s="188"/>
      <c r="FMU38" s="188"/>
      <c r="FMV38" s="188"/>
      <c r="FMW38" s="188"/>
      <c r="FMX38" s="188"/>
      <c r="FMY38" s="188"/>
      <c r="FMZ38" s="188"/>
      <c r="FNA38" s="188"/>
      <c r="FNB38" s="188"/>
      <c r="FNC38" s="188"/>
      <c r="FND38" s="188"/>
      <c r="FNE38" s="188"/>
      <c r="FNF38" s="188"/>
      <c r="FNG38" s="188"/>
      <c r="FNH38" s="188"/>
      <c r="FNI38" s="188"/>
      <c r="FNJ38" s="188"/>
      <c r="FNK38" s="188"/>
      <c r="FNL38" s="188"/>
      <c r="FNM38" s="188"/>
      <c r="FNN38" s="188"/>
      <c r="FNO38" s="188"/>
      <c r="FNP38" s="188"/>
      <c r="FNQ38" s="188"/>
      <c r="FNR38" s="188"/>
      <c r="FNS38" s="188"/>
      <c r="FNT38" s="188"/>
      <c r="FNU38" s="188"/>
      <c r="FNV38" s="188"/>
      <c r="FNW38" s="188"/>
      <c r="FNX38" s="188"/>
      <c r="FNY38" s="188"/>
      <c r="FNZ38" s="188"/>
      <c r="FOA38" s="188"/>
      <c r="FOB38" s="188"/>
      <c r="FOC38" s="188"/>
      <c r="FOD38" s="188"/>
      <c r="FOE38" s="188"/>
      <c r="FOF38" s="188"/>
      <c r="FOG38" s="188"/>
      <c r="FOH38" s="188"/>
      <c r="FOI38" s="188"/>
      <c r="FOJ38" s="188"/>
      <c r="FOK38" s="188"/>
      <c r="FOL38" s="188"/>
      <c r="FOM38" s="188"/>
      <c r="FON38" s="188"/>
      <c r="FOO38" s="188"/>
      <c r="FOP38" s="188"/>
      <c r="FOQ38" s="188"/>
      <c r="FOR38" s="188"/>
      <c r="FOS38" s="188"/>
      <c r="FOT38" s="188"/>
      <c r="FOU38" s="188"/>
      <c r="FOV38" s="188"/>
      <c r="FOW38" s="188"/>
      <c r="FOX38" s="188"/>
      <c r="FOY38" s="188"/>
      <c r="FOZ38" s="188"/>
      <c r="FPA38" s="188"/>
      <c r="FPB38" s="188"/>
      <c r="FPC38" s="188"/>
      <c r="FPD38" s="188"/>
      <c r="FPE38" s="188"/>
      <c r="FPF38" s="188"/>
      <c r="FPG38" s="188"/>
      <c r="FPH38" s="188"/>
      <c r="FPI38" s="188"/>
      <c r="FPJ38" s="188"/>
      <c r="FPK38" s="188"/>
      <c r="FPL38" s="188"/>
      <c r="FPM38" s="188"/>
      <c r="FPN38" s="188"/>
      <c r="FPO38" s="188"/>
      <c r="FPP38" s="188"/>
      <c r="FPQ38" s="188"/>
      <c r="FPR38" s="188"/>
      <c r="FPS38" s="188"/>
      <c r="FPT38" s="188"/>
      <c r="FPU38" s="188"/>
      <c r="FPV38" s="188"/>
      <c r="FPW38" s="188"/>
      <c r="FPX38" s="188"/>
      <c r="FPY38" s="188"/>
      <c r="FPZ38" s="188"/>
      <c r="FQA38" s="188"/>
      <c r="FQB38" s="188"/>
      <c r="FQC38" s="188"/>
      <c r="FQD38" s="188"/>
      <c r="FQE38" s="188"/>
      <c r="FQF38" s="188"/>
      <c r="FQG38" s="188"/>
      <c r="FQH38" s="188"/>
      <c r="FQI38" s="188"/>
      <c r="FQJ38" s="188"/>
      <c r="FQK38" s="188"/>
      <c r="FQL38" s="188"/>
      <c r="FQM38" s="188"/>
      <c r="FQN38" s="188"/>
      <c r="FQO38" s="188"/>
      <c r="FQP38" s="188"/>
      <c r="FQQ38" s="188"/>
      <c r="FQR38" s="188"/>
      <c r="FQS38" s="188"/>
      <c r="FQT38" s="188"/>
      <c r="FQU38" s="188"/>
      <c r="FQV38" s="188"/>
      <c r="FQW38" s="188"/>
      <c r="FQX38" s="188"/>
      <c r="FQY38" s="188"/>
      <c r="FQZ38" s="188"/>
      <c r="FRA38" s="188"/>
      <c r="FRB38" s="188"/>
      <c r="FRC38" s="188"/>
      <c r="FRD38" s="188"/>
      <c r="FRE38" s="188"/>
      <c r="FRF38" s="188"/>
      <c r="FRG38" s="188"/>
      <c r="FRH38" s="188"/>
      <c r="FRI38" s="188"/>
      <c r="FRJ38" s="188"/>
      <c r="FRK38" s="188"/>
      <c r="FRL38" s="188"/>
      <c r="FRM38" s="188"/>
      <c r="FRN38" s="188"/>
      <c r="FRO38" s="188"/>
      <c r="FRP38" s="188"/>
      <c r="FRQ38" s="188"/>
      <c r="FRR38" s="188"/>
      <c r="FRS38" s="188"/>
      <c r="FRT38" s="188"/>
      <c r="FRU38" s="188"/>
      <c r="FRV38" s="188"/>
      <c r="FRW38" s="188"/>
      <c r="FRX38" s="188"/>
      <c r="FRY38" s="188"/>
      <c r="FRZ38" s="188"/>
      <c r="FSA38" s="188"/>
      <c r="FSB38" s="188"/>
      <c r="FSC38" s="188"/>
      <c r="FSD38" s="188"/>
      <c r="FSE38" s="188"/>
      <c r="FSF38" s="188"/>
      <c r="FSG38" s="188"/>
      <c r="FSH38" s="188"/>
      <c r="FSI38" s="188"/>
      <c r="FSJ38" s="188"/>
      <c r="FSK38" s="188"/>
      <c r="FSL38" s="188"/>
      <c r="FSM38" s="188"/>
      <c r="FSN38" s="188"/>
      <c r="FSO38" s="188"/>
      <c r="FSP38" s="188"/>
      <c r="FSQ38" s="188"/>
      <c r="FSR38" s="188"/>
      <c r="FSS38" s="188"/>
      <c r="FST38" s="188"/>
      <c r="FSU38" s="188"/>
      <c r="FSV38" s="188"/>
      <c r="FSW38" s="188"/>
      <c r="FSX38" s="188"/>
      <c r="FSY38" s="188"/>
      <c r="FSZ38" s="188"/>
      <c r="FTA38" s="188"/>
      <c r="FTB38" s="188"/>
      <c r="FTC38" s="188"/>
      <c r="FTD38" s="188"/>
      <c r="FTE38" s="188"/>
      <c r="FTF38" s="188"/>
      <c r="FTG38" s="188"/>
      <c r="FTH38" s="188"/>
      <c r="FTI38" s="188"/>
      <c r="FTJ38" s="188"/>
      <c r="FTK38" s="188"/>
      <c r="FTL38" s="188"/>
      <c r="FTM38" s="188"/>
      <c r="FTN38" s="188"/>
      <c r="FTO38" s="188"/>
      <c r="FTP38" s="188"/>
      <c r="FTQ38" s="188"/>
      <c r="FTR38" s="188"/>
      <c r="FTS38" s="188"/>
      <c r="FTT38" s="188"/>
      <c r="FTU38" s="188"/>
      <c r="FTV38" s="188"/>
      <c r="FTW38" s="188"/>
      <c r="FTX38" s="188"/>
      <c r="FTY38" s="188"/>
      <c r="FTZ38" s="188"/>
      <c r="FUA38" s="188"/>
      <c r="FUB38" s="188"/>
      <c r="FUC38" s="188"/>
      <c r="FUD38" s="188"/>
      <c r="FUE38" s="188"/>
      <c r="FUF38" s="188"/>
      <c r="FUG38" s="188"/>
      <c r="FUH38" s="188"/>
      <c r="FUI38" s="188"/>
      <c r="FUJ38" s="188"/>
      <c r="FUM38" s="188"/>
      <c r="FUP38" s="188"/>
      <c r="FUS38" s="188"/>
      <c r="FUT38" s="188"/>
      <c r="FUU38" s="188"/>
      <c r="FUV38" s="188"/>
      <c r="FUW38" s="188"/>
      <c r="FUX38" s="188"/>
      <c r="FUY38" s="188"/>
      <c r="FUZ38" s="188"/>
      <c r="FVA38" s="188"/>
      <c r="FVC38" s="188"/>
      <c r="FVD38" s="188"/>
      <c r="FVE38" s="188"/>
      <c r="FVF38" s="188"/>
      <c r="FVG38" s="188"/>
      <c r="FVH38" s="188"/>
      <c r="FVI38" s="188"/>
      <c r="FVJ38" s="188"/>
      <c r="FVK38" s="188"/>
      <c r="FVL38" s="188"/>
      <c r="FVM38" s="188"/>
      <c r="FVN38" s="188"/>
      <c r="FVO38" s="188"/>
      <c r="FVP38" s="188"/>
      <c r="FVQ38" s="188"/>
      <c r="FVR38" s="188"/>
      <c r="FVS38" s="188"/>
      <c r="FVT38" s="188"/>
      <c r="FVU38" s="188"/>
      <c r="FVV38" s="188"/>
      <c r="FVW38" s="188"/>
      <c r="FVX38" s="188"/>
      <c r="FVY38" s="188"/>
      <c r="FVZ38" s="188"/>
      <c r="FWA38" s="188"/>
      <c r="FWB38" s="188"/>
      <c r="FWC38" s="188"/>
      <c r="FWD38" s="188"/>
      <c r="FWE38" s="188"/>
      <c r="FWF38" s="188"/>
      <c r="FWG38" s="188"/>
      <c r="FWH38" s="188"/>
      <c r="FWI38" s="188"/>
      <c r="FWJ38" s="188"/>
      <c r="FWK38" s="188"/>
      <c r="FWL38" s="188"/>
      <c r="FWM38" s="188"/>
      <c r="FWN38" s="188"/>
      <c r="FWO38" s="188"/>
      <c r="FWP38" s="188"/>
      <c r="FWQ38" s="188"/>
      <c r="FWR38" s="188"/>
      <c r="FWS38" s="188"/>
      <c r="FWT38" s="188"/>
      <c r="FWU38" s="188"/>
      <c r="FWV38" s="188"/>
      <c r="FWW38" s="188"/>
      <c r="FWX38" s="188"/>
      <c r="FWY38" s="188"/>
      <c r="FWZ38" s="188"/>
      <c r="FXA38" s="188"/>
      <c r="FXB38" s="188"/>
      <c r="FXC38" s="188"/>
      <c r="FXD38" s="188"/>
      <c r="FXE38" s="188"/>
      <c r="FXF38" s="188"/>
      <c r="FXG38" s="188"/>
      <c r="FXH38" s="188"/>
      <c r="FXI38" s="188"/>
      <c r="FXJ38" s="188"/>
      <c r="FXK38" s="188"/>
      <c r="FXL38" s="188"/>
      <c r="FXM38" s="188"/>
      <c r="FXN38" s="188"/>
      <c r="FXO38" s="188"/>
      <c r="FXP38" s="188"/>
      <c r="FXQ38" s="188"/>
      <c r="FXR38" s="188"/>
      <c r="FXS38" s="188"/>
      <c r="FXT38" s="188"/>
      <c r="FXU38" s="188"/>
      <c r="FXV38" s="188"/>
      <c r="FXW38" s="188"/>
      <c r="FXX38" s="188"/>
      <c r="FXY38" s="188"/>
      <c r="FXZ38" s="188"/>
      <c r="FYA38" s="188"/>
      <c r="FYB38" s="188"/>
      <c r="FYC38" s="188"/>
      <c r="FYD38" s="188"/>
      <c r="FYE38" s="188"/>
      <c r="FYF38" s="188"/>
      <c r="FYG38" s="188"/>
      <c r="FYH38" s="188"/>
      <c r="FYI38" s="188"/>
      <c r="FYJ38" s="188"/>
      <c r="FYK38" s="188"/>
      <c r="FYL38" s="188"/>
      <c r="FYM38" s="188"/>
      <c r="FYN38" s="188"/>
      <c r="FYO38" s="188"/>
      <c r="FYP38" s="188"/>
      <c r="FYQ38" s="188"/>
      <c r="FYR38" s="188"/>
      <c r="FYS38" s="188"/>
      <c r="FYT38" s="188"/>
      <c r="FYU38" s="188"/>
      <c r="FYV38" s="188"/>
      <c r="FYW38" s="188"/>
      <c r="FYX38" s="188"/>
      <c r="FYY38" s="188"/>
      <c r="FYZ38" s="188"/>
      <c r="FZA38" s="188"/>
      <c r="FZB38" s="188"/>
      <c r="FZC38" s="188"/>
      <c r="FZD38" s="188"/>
      <c r="FZE38" s="188"/>
      <c r="FZF38" s="188"/>
      <c r="FZG38" s="188"/>
      <c r="FZH38" s="188"/>
      <c r="FZI38" s="188"/>
      <c r="FZJ38" s="188"/>
      <c r="FZK38" s="188"/>
      <c r="FZL38" s="188"/>
      <c r="FZM38" s="188"/>
      <c r="FZN38" s="188"/>
      <c r="FZO38" s="188"/>
      <c r="FZP38" s="188"/>
      <c r="FZQ38" s="188"/>
      <c r="FZR38" s="188"/>
      <c r="FZS38" s="188"/>
      <c r="FZT38" s="188"/>
      <c r="FZU38" s="188"/>
      <c r="FZV38" s="188"/>
      <c r="FZW38" s="188"/>
      <c r="FZX38" s="188"/>
      <c r="FZY38" s="188"/>
      <c r="FZZ38" s="188"/>
      <c r="GAA38" s="188"/>
      <c r="GAB38" s="188"/>
      <c r="GAC38" s="188"/>
      <c r="GAD38" s="188"/>
      <c r="GAE38" s="188"/>
      <c r="GAF38" s="188"/>
      <c r="GAG38" s="188"/>
      <c r="GAH38" s="188"/>
      <c r="GAI38" s="188"/>
      <c r="GAJ38" s="188"/>
      <c r="GAK38" s="188"/>
      <c r="GAL38" s="188"/>
      <c r="GAM38" s="188"/>
      <c r="GAN38" s="188"/>
      <c r="GAO38" s="188"/>
      <c r="GAP38" s="188"/>
      <c r="GAQ38" s="188"/>
      <c r="GAR38" s="188"/>
      <c r="GAS38" s="188"/>
      <c r="GAT38" s="188"/>
      <c r="GAU38" s="188"/>
      <c r="GAV38" s="188"/>
      <c r="GAW38" s="188"/>
      <c r="GAX38" s="188"/>
      <c r="GAY38" s="188"/>
      <c r="GAZ38" s="188"/>
      <c r="GBA38" s="188"/>
      <c r="GBB38" s="188"/>
      <c r="GBC38" s="188"/>
      <c r="GBD38" s="188"/>
      <c r="GBE38" s="188"/>
      <c r="GBF38" s="188"/>
      <c r="GBG38" s="188"/>
      <c r="GBH38" s="188"/>
      <c r="GBI38" s="188"/>
      <c r="GBJ38" s="188"/>
      <c r="GBK38" s="188"/>
      <c r="GBL38" s="188"/>
      <c r="GBM38" s="188"/>
      <c r="GBN38" s="188"/>
      <c r="GBO38" s="188"/>
      <c r="GBP38" s="188"/>
      <c r="GBQ38" s="188"/>
      <c r="GBR38" s="188"/>
      <c r="GBS38" s="188"/>
      <c r="GBT38" s="188"/>
      <c r="GBU38" s="188"/>
      <c r="GBV38" s="188"/>
      <c r="GBW38" s="188"/>
      <c r="GBX38" s="188"/>
      <c r="GBY38" s="188"/>
      <c r="GBZ38" s="188"/>
      <c r="GCA38" s="188"/>
      <c r="GCB38" s="188"/>
      <c r="GCC38" s="188"/>
      <c r="GCD38" s="188"/>
      <c r="GCE38" s="188"/>
      <c r="GCF38" s="188"/>
      <c r="GCG38" s="188"/>
      <c r="GCH38" s="188"/>
      <c r="GCI38" s="188"/>
      <c r="GCJ38" s="188"/>
      <c r="GCK38" s="188"/>
      <c r="GCL38" s="188"/>
      <c r="GCM38" s="188"/>
      <c r="GCN38" s="188"/>
      <c r="GCO38" s="188"/>
      <c r="GCP38" s="188"/>
      <c r="GCQ38" s="188"/>
      <c r="GCR38" s="188"/>
      <c r="GCS38" s="188"/>
      <c r="GCT38" s="188"/>
      <c r="GCU38" s="188"/>
      <c r="GCV38" s="188"/>
      <c r="GCW38" s="188"/>
      <c r="GCX38" s="188"/>
      <c r="GCY38" s="188"/>
      <c r="GCZ38" s="188"/>
      <c r="GDA38" s="188"/>
      <c r="GDB38" s="188"/>
      <c r="GDC38" s="188"/>
      <c r="GDD38" s="188"/>
      <c r="GDE38" s="188"/>
      <c r="GDF38" s="188"/>
      <c r="GDG38" s="188"/>
      <c r="GDH38" s="188"/>
      <c r="GDI38" s="188"/>
      <c r="GDJ38" s="188"/>
      <c r="GDK38" s="188"/>
      <c r="GDL38" s="188"/>
      <c r="GDM38" s="188"/>
      <c r="GDN38" s="188"/>
      <c r="GDO38" s="188"/>
      <c r="GDP38" s="188"/>
      <c r="GDQ38" s="188"/>
      <c r="GDR38" s="188"/>
      <c r="GDS38" s="188"/>
      <c r="GDT38" s="188"/>
      <c r="GDU38" s="188"/>
      <c r="GDV38" s="188"/>
      <c r="GDW38" s="188"/>
      <c r="GDX38" s="188"/>
      <c r="GDY38" s="188"/>
      <c r="GDZ38" s="188"/>
      <c r="GEA38" s="188"/>
      <c r="GEB38" s="188"/>
      <c r="GEC38" s="188"/>
      <c r="GED38" s="188"/>
      <c r="GEE38" s="188"/>
      <c r="GEF38" s="188"/>
      <c r="GEI38" s="188"/>
      <c r="GEL38" s="188"/>
      <c r="GEO38" s="188"/>
      <c r="GEP38" s="188"/>
      <c r="GEQ38" s="188"/>
      <c r="GER38" s="188"/>
      <c r="GES38" s="188"/>
      <c r="GET38" s="188"/>
      <c r="GEU38" s="188"/>
      <c r="GEV38" s="188"/>
      <c r="GEW38" s="188"/>
      <c r="GEY38" s="188"/>
      <c r="GEZ38" s="188"/>
      <c r="GFA38" s="188"/>
      <c r="GFB38" s="188"/>
      <c r="GFC38" s="188"/>
      <c r="GFD38" s="188"/>
      <c r="GFE38" s="188"/>
      <c r="GFF38" s="188"/>
      <c r="GFG38" s="188"/>
      <c r="GFH38" s="188"/>
      <c r="GFI38" s="188"/>
      <c r="GFJ38" s="188"/>
      <c r="GFK38" s="188"/>
      <c r="GFL38" s="188"/>
      <c r="GFM38" s="188"/>
      <c r="GFN38" s="188"/>
      <c r="GFO38" s="188"/>
      <c r="GFP38" s="188"/>
      <c r="GFQ38" s="188"/>
      <c r="GFR38" s="188"/>
      <c r="GFS38" s="188"/>
      <c r="GFT38" s="188"/>
      <c r="GFU38" s="188"/>
      <c r="GFV38" s="188"/>
      <c r="GFW38" s="188"/>
      <c r="GFX38" s="188"/>
      <c r="GFY38" s="188"/>
      <c r="GFZ38" s="188"/>
      <c r="GGA38" s="188"/>
      <c r="GGB38" s="188"/>
      <c r="GGC38" s="188"/>
      <c r="GGD38" s="188"/>
      <c r="GGE38" s="188"/>
      <c r="GGF38" s="188"/>
      <c r="GGG38" s="188"/>
      <c r="GGH38" s="188"/>
      <c r="GGI38" s="188"/>
      <c r="GGJ38" s="188"/>
      <c r="GGK38" s="188"/>
      <c r="GGL38" s="188"/>
      <c r="GGM38" s="188"/>
      <c r="GGN38" s="188"/>
      <c r="GGO38" s="188"/>
      <c r="GGP38" s="188"/>
      <c r="GGQ38" s="188"/>
      <c r="GGR38" s="188"/>
      <c r="GGS38" s="188"/>
      <c r="GGT38" s="188"/>
      <c r="GGU38" s="188"/>
      <c r="GGV38" s="188"/>
      <c r="GGW38" s="188"/>
      <c r="GGX38" s="188"/>
      <c r="GGY38" s="188"/>
      <c r="GGZ38" s="188"/>
      <c r="GHA38" s="188"/>
      <c r="GHB38" s="188"/>
      <c r="GHC38" s="188"/>
      <c r="GHD38" s="188"/>
      <c r="GHE38" s="188"/>
      <c r="GHF38" s="188"/>
      <c r="GHG38" s="188"/>
      <c r="GHH38" s="188"/>
      <c r="GHI38" s="188"/>
      <c r="GHJ38" s="188"/>
      <c r="GHK38" s="188"/>
      <c r="GHL38" s="188"/>
      <c r="GHM38" s="188"/>
      <c r="GHN38" s="188"/>
      <c r="GHO38" s="188"/>
      <c r="GHP38" s="188"/>
      <c r="GHQ38" s="188"/>
      <c r="GHR38" s="188"/>
      <c r="GHS38" s="188"/>
      <c r="GHT38" s="188"/>
      <c r="GHU38" s="188"/>
      <c r="GHV38" s="188"/>
      <c r="GHW38" s="188"/>
      <c r="GHX38" s="188"/>
      <c r="GHY38" s="188"/>
      <c r="GHZ38" s="188"/>
      <c r="GIA38" s="188"/>
      <c r="GIB38" s="188"/>
      <c r="GIC38" s="188"/>
      <c r="GID38" s="188"/>
      <c r="GIE38" s="188"/>
      <c r="GIF38" s="188"/>
      <c r="GIG38" s="188"/>
      <c r="GIH38" s="188"/>
      <c r="GII38" s="188"/>
      <c r="GIJ38" s="188"/>
      <c r="GIK38" s="188"/>
      <c r="GIL38" s="188"/>
      <c r="GIM38" s="188"/>
      <c r="GIN38" s="188"/>
      <c r="GIO38" s="188"/>
      <c r="GIP38" s="188"/>
      <c r="GIQ38" s="188"/>
      <c r="GIR38" s="188"/>
      <c r="GIS38" s="188"/>
      <c r="GIT38" s="188"/>
      <c r="GIU38" s="188"/>
      <c r="GIV38" s="188"/>
      <c r="GIW38" s="188"/>
      <c r="GIX38" s="188"/>
      <c r="GIY38" s="188"/>
      <c r="GIZ38" s="188"/>
      <c r="GJA38" s="188"/>
      <c r="GJB38" s="188"/>
      <c r="GJC38" s="188"/>
      <c r="GJD38" s="188"/>
      <c r="GJE38" s="188"/>
      <c r="GJF38" s="188"/>
      <c r="GJG38" s="188"/>
      <c r="GJH38" s="188"/>
      <c r="GJI38" s="188"/>
      <c r="GJJ38" s="188"/>
      <c r="GJK38" s="188"/>
      <c r="GJL38" s="188"/>
      <c r="GJM38" s="188"/>
      <c r="GJN38" s="188"/>
      <c r="GJO38" s="188"/>
      <c r="GJP38" s="188"/>
      <c r="GJQ38" s="188"/>
      <c r="GJR38" s="188"/>
      <c r="GJS38" s="188"/>
      <c r="GJT38" s="188"/>
      <c r="GJU38" s="188"/>
      <c r="GJV38" s="188"/>
      <c r="GJW38" s="188"/>
      <c r="GJX38" s="188"/>
      <c r="GJY38" s="188"/>
      <c r="GJZ38" s="188"/>
      <c r="GKA38" s="188"/>
      <c r="GKB38" s="188"/>
      <c r="GKC38" s="188"/>
      <c r="GKD38" s="188"/>
      <c r="GKE38" s="188"/>
      <c r="GKF38" s="188"/>
      <c r="GKG38" s="188"/>
      <c r="GKH38" s="188"/>
      <c r="GKI38" s="188"/>
      <c r="GKJ38" s="188"/>
      <c r="GKK38" s="188"/>
      <c r="GKL38" s="188"/>
      <c r="GKM38" s="188"/>
      <c r="GKN38" s="188"/>
      <c r="GKO38" s="188"/>
      <c r="GKP38" s="188"/>
      <c r="GKQ38" s="188"/>
      <c r="GKR38" s="188"/>
      <c r="GKS38" s="188"/>
      <c r="GKT38" s="188"/>
      <c r="GKU38" s="188"/>
      <c r="GKV38" s="188"/>
      <c r="GKW38" s="188"/>
      <c r="GKX38" s="188"/>
      <c r="GKY38" s="188"/>
      <c r="GKZ38" s="188"/>
      <c r="GLA38" s="188"/>
      <c r="GLB38" s="188"/>
      <c r="GLC38" s="188"/>
      <c r="GLD38" s="188"/>
      <c r="GLE38" s="188"/>
      <c r="GLF38" s="188"/>
      <c r="GLG38" s="188"/>
      <c r="GLH38" s="188"/>
      <c r="GLI38" s="188"/>
      <c r="GLJ38" s="188"/>
      <c r="GLK38" s="188"/>
      <c r="GLL38" s="188"/>
      <c r="GLM38" s="188"/>
      <c r="GLN38" s="188"/>
      <c r="GLO38" s="188"/>
      <c r="GLP38" s="188"/>
      <c r="GLQ38" s="188"/>
      <c r="GLR38" s="188"/>
      <c r="GLS38" s="188"/>
      <c r="GLT38" s="188"/>
      <c r="GLU38" s="188"/>
      <c r="GLV38" s="188"/>
      <c r="GLW38" s="188"/>
      <c r="GLX38" s="188"/>
      <c r="GLY38" s="188"/>
      <c r="GLZ38" s="188"/>
      <c r="GMA38" s="188"/>
      <c r="GMB38" s="188"/>
      <c r="GMC38" s="188"/>
      <c r="GMD38" s="188"/>
      <c r="GME38" s="188"/>
      <c r="GMF38" s="188"/>
      <c r="GMG38" s="188"/>
      <c r="GMH38" s="188"/>
      <c r="GMI38" s="188"/>
      <c r="GMJ38" s="188"/>
      <c r="GMK38" s="188"/>
      <c r="GML38" s="188"/>
      <c r="GMM38" s="188"/>
      <c r="GMN38" s="188"/>
      <c r="GMO38" s="188"/>
      <c r="GMP38" s="188"/>
      <c r="GMQ38" s="188"/>
      <c r="GMR38" s="188"/>
      <c r="GMS38" s="188"/>
      <c r="GMT38" s="188"/>
      <c r="GMU38" s="188"/>
      <c r="GMV38" s="188"/>
      <c r="GMW38" s="188"/>
      <c r="GMX38" s="188"/>
      <c r="GMY38" s="188"/>
      <c r="GMZ38" s="188"/>
      <c r="GNA38" s="188"/>
      <c r="GNB38" s="188"/>
      <c r="GNC38" s="188"/>
      <c r="GND38" s="188"/>
      <c r="GNE38" s="188"/>
      <c r="GNF38" s="188"/>
      <c r="GNG38" s="188"/>
      <c r="GNH38" s="188"/>
      <c r="GNI38" s="188"/>
      <c r="GNJ38" s="188"/>
      <c r="GNK38" s="188"/>
      <c r="GNL38" s="188"/>
      <c r="GNM38" s="188"/>
      <c r="GNN38" s="188"/>
      <c r="GNO38" s="188"/>
      <c r="GNP38" s="188"/>
      <c r="GNQ38" s="188"/>
      <c r="GNR38" s="188"/>
      <c r="GNS38" s="188"/>
      <c r="GNT38" s="188"/>
      <c r="GNU38" s="188"/>
      <c r="GNV38" s="188"/>
      <c r="GNW38" s="188"/>
      <c r="GNX38" s="188"/>
      <c r="GNY38" s="188"/>
      <c r="GNZ38" s="188"/>
      <c r="GOA38" s="188"/>
      <c r="GOB38" s="188"/>
      <c r="GOE38" s="188"/>
      <c r="GOH38" s="188"/>
      <c r="GOK38" s="188"/>
      <c r="GOL38" s="188"/>
      <c r="GOM38" s="188"/>
      <c r="GON38" s="188"/>
      <c r="GOO38" s="188"/>
      <c r="GOP38" s="188"/>
      <c r="GOQ38" s="188"/>
      <c r="GOR38" s="188"/>
      <c r="GOS38" s="188"/>
      <c r="GOU38" s="188"/>
      <c r="GOV38" s="188"/>
      <c r="GOW38" s="188"/>
      <c r="GOX38" s="188"/>
      <c r="GOY38" s="188"/>
      <c r="GOZ38" s="188"/>
      <c r="GPA38" s="188"/>
      <c r="GPB38" s="188"/>
      <c r="GPC38" s="188"/>
      <c r="GPD38" s="188"/>
      <c r="GPE38" s="188"/>
      <c r="GPF38" s="188"/>
      <c r="GPG38" s="188"/>
      <c r="GPH38" s="188"/>
      <c r="GPI38" s="188"/>
      <c r="GPJ38" s="188"/>
      <c r="GPK38" s="188"/>
      <c r="GPL38" s="188"/>
      <c r="GPM38" s="188"/>
      <c r="GPN38" s="188"/>
      <c r="GPO38" s="188"/>
      <c r="GPP38" s="188"/>
      <c r="GPQ38" s="188"/>
      <c r="GPR38" s="188"/>
      <c r="GPS38" s="188"/>
      <c r="GPT38" s="188"/>
      <c r="GPU38" s="188"/>
      <c r="GPV38" s="188"/>
      <c r="GPW38" s="188"/>
      <c r="GPX38" s="188"/>
      <c r="GPY38" s="188"/>
      <c r="GPZ38" s="188"/>
      <c r="GQA38" s="188"/>
      <c r="GQB38" s="188"/>
      <c r="GQC38" s="188"/>
      <c r="GQD38" s="188"/>
      <c r="GQE38" s="188"/>
      <c r="GQF38" s="188"/>
      <c r="GQG38" s="188"/>
      <c r="GQH38" s="188"/>
      <c r="GQI38" s="188"/>
      <c r="GQJ38" s="188"/>
      <c r="GQK38" s="188"/>
      <c r="GQL38" s="188"/>
      <c r="GQM38" s="188"/>
      <c r="GQN38" s="188"/>
      <c r="GQO38" s="188"/>
      <c r="GQP38" s="188"/>
      <c r="GQQ38" s="188"/>
      <c r="GQR38" s="188"/>
      <c r="GQS38" s="188"/>
      <c r="GQT38" s="188"/>
      <c r="GQU38" s="188"/>
      <c r="GQV38" s="188"/>
      <c r="GQW38" s="188"/>
      <c r="GQX38" s="188"/>
      <c r="GQY38" s="188"/>
      <c r="GQZ38" s="188"/>
      <c r="GRA38" s="188"/>
      <c r="GRB38" s="188"/>
      <c r="GRC38" s="188"/>
      <c r="GRD38" s="188"/>
      <c r="GRE38" s="188"/>
      <c r="GRF38" s="188"/>
      <c r="GRG38" s="188"/>
      <c r="GRH38" s="188"/>
      <c r="GRI38" s="188"/>
      <c r="GRJ38" s="188"/>
      <c r="GRK38" s="188"/>
      <c r="GRL38" s="188"/>
      <c r="GRM38" s="188"/>
      <c r="GRN38" s="188"/>
      <c r="GRO38" s="188"/>
      <c r="GRP38" s="188"/>
      <c r="GRQ38" s="188"/>
      <c r="GRR38" s="188"/>
      <c r="GRS38" s="188"/>
      <c r="GRT38" s="188"/>
      <c r="GRU38" s="188"/>
      <c r="GRV38" s="188"/>
      <c r="GRW38" s="188"/>
      <c r="GRX38" s="188"/>
      <c r="GRY38" s="188"/>
      <c r="GRZ38" s="188"/>
      <c r="GSA38" s="188"/>
      <c r="GSB38" s="188"/>
      <c r="GSC38" s="188"/>
      <c r="GSD38" s="188"/>
      <c r="GSE38" s="188"/>
      <c r="GSF38" s="188"/>
      <c r="GSG38" s="188"/>
      <c r="GSH38" s="188"/>
      <c r="GSI38" s="188"/>
      <c r="GSJ38" s="188"/>
      <c r="GSK38" s="188"/>
      <c r="GSL38" s="188"/>
      <c r="GSM38" s="188"/>
      <c r="GSN38" s="188"/>
      <c r="GSO38" s="188"/>
      <c r="GSP38" s="188"/>
      <c r="GSQ38" s="188"/>
      <c r="GSR38" s="188"/>
      <c r="GSS38" s="188"/>
      <c r="GST38" s="188"/>
      <c r="GSU38" s="188"/>
      <c r="GSV38" s="188"/>
      <c r="GSW38" s="188"/>
      <c r="GSX38" s="188"/>
      <c r="GSY38" s="188"/>
      <c r="GSZ38" s="188"/>
      <c r="GTA38" s="188"/>
      <c r="GTB38" s="188"/>
      <c r="GTC38" s="188"/>
      <c r="GTD38" s="188"/>
      <c r="GTE38" s="188"/>
      <c r="GTF38" s="188"/>
      <c r="GTG38" s="188"/>
      <c r="GTH38" s="188"/>
      <c r="GTI38" s="188"/>
      <c r="GTJ38" s="188"/>
      <c r="GTK38" s="188"/>
      <c r="GTL38" s="188"/>
      <c r="GTM38" s="188"/>
      <c r="GTN38" s="188"/>
      <c r="GTO38" s="188"/>
      <c r="GTP38" s="188"/>
      <c r="GTQ38" s="188"/>
      <c r="GTR38" s="188"/>
      <c r="GTS38" s="188"/>
      <c r="GTT38" s="188"/>
      <c r="GTU38" s="188"/>
      <c r="GTV38" s="188"/>
      <c r="GTW38" s="188"/>
      <c r="GTX38" s="188"/>
      <c r="GTY38" s="188"/>
      <c r="GTZ38" s="188"/>
      <c r="GUA38" s="188"/>
      <c r="GUB38" s="188"/>
      <c r="GUC38" s="188"/>
      <c r="GUD38" s="188"/>
      <c r="GUE38" s="188"/>
      <c r="GUF38" s="188"/>
      <c r="GUG38" s="188"/>
      <c r="GUH38" s="188"/>
      <c r="GUI38" s="188"/>
      <c r="GUJ38" s="188"/>
      <c r="GUK38" s="188"/>
      <c r="GUL38" s="188"/>
      <c r="GUM38" s="188"/>
      <c r="GUN38" s="188"/>
      <c r="GUO38" s="188"/>
      <c r="GUP38" s="188"/>
      <c r="GUQ38" s="188"/>
      <c r="GUR38" s="188"/>
      <c r="GUS38" s="188"/>
      <c r="GUT38" s="188"/>
      <c r="GUU38" s="188"/>
      <c r="GUV38" s="188"/>
      <c r="GUW38" s="188"/>
      <c r="GUX38" s="188"/>
      <c r="GUY38" s="188"/>
      <c r="GUZ38" s="188"/>
      <c r="GVA38" s="188"/>
      <c r="GVB38" s="188"/>
      <c r="GVC38" s="188"/>
      <c r="GVD38" s="188"/>
      <c r="GVE38" s="188"/>
      <c r="GVF38" s="188"/>
      <c r="GVG38" s="188"/>
      <c r="GVH38" s="188"/>
      <c r="GVI38" s="188"/>
      <c r="GVJ38" s="188"/>
      <c r="GVK38" s="188"/>
      <c r="GVL38" s="188"/>
      <c r="GVM38" s="188"/>
      <c r="GVN38" s="188"/>
      <c r="GVO38" s="188"/>
      <c r="GVP38" s="188"/>
      <c r="GVQ38" s="188"/>
      <c r="GVR38" s="188"/>
      <c r="GVS38" s="188"/>
      <c r="GVT38" s="188"/>
      <c r="GVU38" s="188"/>
      <c r="GVV38" s="188"/>
      <c r="GVW38" s="188"/>
      <c r="GVX38" s="188"/>
      <c r="GVY38" s="188"/>
      <c r="GVZ38" s="188"/>
      <c r="GWA38" s="188"/>
      <c r="GWB38" s="188"/>
      <c r="GWC38" s="188"/>
      <c r="GWD38" s="188"/>
      <c r="GWE38" s="188"/>
      <c r="GWF38" s="188"/>
      <c r="GWG38" s="188"/>
      <c r="GWH38" s="188"/>
      <c r="GWI38" s="188"/>
      <c r="GWJ38" s="188"/>
      <c r="GWK38" s="188"/>
      <c r="GWL38" s="188"/>
      <c r="GWM38" s="188"/>
      <c r="GWN38" s="188"/>
      <c r="GWO38" s="188"/>
      <c r="GWP38" s="188"/>
      <c r="GWQ38" s="188"/>
      <c r="GWR38" s="188"/>
      <c r="GWS38" s="188"/>
      <c r="GWT38" s="188"/>
      <c r="GWU38" s="188"/>
      <c r="GWV38" s="188"/>
      <c r="GWW38" s="188"/>
      <c r="GWX38" s="188"/>
      <c r="GWY38" s="188"/>
      <c r="GWZ38" s="188"/>
      <c r="GXA38" s="188"/>
      <c r="GXB38" s="188"/>
      <c r="GXC38" s="188"/>
      <c r="GXD38" s="188"/>
      <c r="GXE38" s="188"/>
      <c r="GXF38" s="188"/>
      <c r="GXG38" s="188"/>
      <c r="GXH38" s="188"/>
      <c r="GXI38" s="188"/>
      <c r="GXJ38" s="188"/>
      <c r="GXK38" s="188"/>
      <c r="GXL38" s="188"/>
      <c r="GXM38" s="188"/>
      <c r="GXN38" s="188"/>
      <c r="GXO38" s="188"/>
      <c r="GXP38" s="188"/>
      <c r="GXQ38" s="188"/>
      <c r="GXR38" s="188"/>
      <c r="GXS38" s="188"/>
      <c r="GXT38" s="188"/>
      <c r="GXU38" s="188"/>
      <c r="GXV38" s="188"/>
      <c r="GXW38" s="188"/>
      <c r="GXX38" s="188"/>
      <c r="GYA38" s="188"/>
      <c r="GYD38" s="188"/>
      <c r="GYG38" s="188"/>
      <c r="GYH38" s="188"/>
      <c r="GYI38" s="188"/>
      <c r="GYJ38" s="188"/>
      <c r="GYK38" s="188"/>
      <c r="GYL38" s="188"/>
      <c r="GYM38" s="188"/>
      <c r="GYN38" s="188"/>
      <c r="GYO38" s="188"/>
      <c r="GYQ38" s="188"/>
      <c r="GYR38" s="188"/>
      <c r="GYS38" s="188"/>
      <c r="GYT38" s="188"/>
      <c r="GYU38" s="188"/>
      <c r="GYV38" s="188"/>
      <c r="GYW38" s="188"/>
      <c r="GYX38" s="188"/>
      <c r="GYY38" s="188"/>
      <c r="GYZ38" s="188"/>
      <c r="GZA38" s="188"/>
      <c r="GZB38" s="188"/>
      <c r="GZC38" s="188"/>
      <c r="GZD38" s="188"/>
      <c r="GZE38" s="188"/>
      <c r="GZF38" s="188"/>
      <c r="GZG38" s="188"/>
      <c r="GZH38" s="188"/>
      <c r="GZI38" s="188"/>
      <c r="GZJ38" s="188"/>
      <c r="GZK38" s="188"/>
      <c r="GZL38" s="188"/>
      <c r="GZM38" s="188"/>
      <c r="GZN38" s="188"/>
      <c r="GZO38" s="188"/>
      <c r="GZP38" s="188"/>
      <c r="GZQ38" s="188"/>
      <c r="GZR38" s="188"/>
      <c r="GZS38" s="188"/>
      <c r="GZT38" s="188"/>
      <c r="GZU38" s="188"/>
      <c r="GZV38" s="188"/>
      <c r="GZW38" s="188"/>
      <c r="GZX38" s="188"/>
      <c r="GZY38" s="188"/>
      <c r="GZZ38" s="188"/>
      <c r="HAA38" s="188"/>
      <c r="HAB38" s="188"/>
      <c r="HAC38" s="188"/>
      <c r="HAD38" s="188"/>
      <c r="HAE38" s="188"/>
      <c r="HAF38" s="188"/>
      <c r="HAG38" s="188"/>
      <c r="HAH38" s="188"/>
      <c r="HAI38" s="188"/>
      <c r="HAJ38" s="188"/>
      <c r="HAK38" s="188"/>
      <c r="HAL38" s="188"/>
      <c r="HAM38" s="188"/>
      <c r="HAN38" s="188"/>
      <c r="HAO38" s="188"/>
      <c r="HAP38" s="188"/>
      <c r="HAQ38" s="188"/>
      <c r="HAR38" s="188"/>
      <c r="HAS38" s="188"/>
      <c r="HAT38" s="188"/>
      <c r="HAU38" s="188"/>
      <c r="HAV38" s="188"/>
      <c r="HAW38" s="188"/>
      <c r="HAX38" s="188"/>
      <c r="HAY38" s="188"/>
      <c r="HAZ38" s="188"/>
      <c r="HBA38" s="188"/>
      <c r="HBB38" s="188"/>
      <c r="HBC38" s="188"/>
      <c r="HBD38" s="188"/>
      <c r="HBE38" s="188"/>
      <c r="HBF38" s="188"/>
      <c r="HBG38" s="188"/>
      <c r="HBH38" s="188"/>
      <c r="HBI38" s="188"/>
      <c r="HBJ38" s="188"/>
      <c r="HBK38" s="188"/>
      <c r="HBL38" s="188"/>
      <c r="HBM38" s="188"/>
      <c r="HBN38" s="188"/>
      <c r="HBO38" s="188"/>
      <c r="HBP38" s="188"/>
      <c r="HBQ38" s="188"/>
      <c r="HBR38" s="188"/>
      <c r="HBS38" s="188"/>
      <c r="HBT38" s="188"/>
      <c r="HBU38" s="188"/>
      <c r="HBV38" s="188"/>
      <c r="HBW38" s="188"/>
      <c r="HBX38" s="188"/>
      <c r="HBY38" s="188"/>
      <c r="HBZ38" s="188"/>
      <c r="HCA38" s="188"/>
      <c r="HCB38" s="188"/>
      <c r="HCC38" s="188"/>
      <c r="HCD38" s="188"/>
      <c r="HCE38" s="188"/>
      <c r="HCF38" s="188"/>
      <c r="HCG38" s="188"/>
      <c r="HCH38" s="188"/>
      <c r="HCI38" s="188"/>
      <c r="HCJ38" s="188"/>
      <c r="HCK38" s="188"/>
      <c r="HCL38" s="188"/>
      <c r="HCM38" s="188"/>
      <c r="HCN38" s="188"/>
      <c r="HCO38" s="188"/>
      <c r="HCP38" s="188"/>
      <c r="HCQ38" s="188"/>
      <c r="HCR38" s="188"/>
      <c r="HCS38" s="188"/>
      <c r="HCT38" s="188"/>
      <c r="HCU38" s="188"/>
      <c r="HCV38" s="188"/>
      <c r="HCW38" s="188"/>
      <c r="HCX38" s="188"/>
      <c r="HCY38" s="188"/>
      <c r="HCZ38" s="188"/>
      <c r="HDA38" s="188"/>
      <c r="HDB38" s="188"/>
      <c r="HDC38" s="188"/>
      <c r="HDD38" s="188"/>
      <c r="HDE38" s="188"/>
      <c r="HDF38" s="188"/>
      <c r="HDG38" s="188"/>
      <c r="HDH38" s="188"/>
      <c r="HDI38" s="188"/>
      <c r="HDJ38" s="188"/>
      <c r="HDK38" s="188"/>
      <c r="HDL38" s="188"/>
      <c r="HDM38" s="188"/>
      <c r="HDN38" s="188"/>
      <c r="HDO38" s="188"/>
      <c r="HDP38" s="188"/>
      <c r="HDQ38" s="188"/>
      <c r="HDR38" s="188"/>
      <c r="HDS38" s="188"/>
      <c r="HDT38" s="188"/>
      <c r="HDU38" s="188"/>
      <c r="HDV38" s="188"/>
      <c r="HDW38" s="188"/>
      <c r="HDX38" s="188"/>
      <c r="HDY38" s="188"/>
      <c r="HDZ38" s="188"/>
      <c r="HEA38" s="188"/>
      <c r="HEB38" s="188"/>
      <c r="HEC38" s="188"/>
      <c r="HED38" s="188"/>
      <c r="HEE38" s="188"/>
      <c r="HEF38" s="188"/>
      <c r="HEG38" s="188"/>
      <c r="HEH38" s="188"/>
      <c r="HEI38" s="188"/>
      <c r="HEJ38" s="188"/>
      <c r="HEK38" s="188"/>
      <c r="HEL38" s="188"/>
      <c r="HEM38" s="188"/>
      <c r="HEN38" s="188"/>
      <c r="HEO38" s="188"/>
      <c r="HEP38" s="188"/>
      <c r="HEQ38" s="188"/>
      <c r="HER38" s="188"/>
      <c r="HES38" s="188"/>
      <c r="HET38" s="188"/>
      <c r="HEU38" s="188"/>
      <c r="HEV38" s="188"/>
      <c r="HEW38" s="188"/>
      <c r="HEX38" s="188"/>
      <c r="HEY38" s="188"/>
      <c r="HEZ38" s="188"/>
      <c r="HFA38" s="188"/>
      <c r="HFB38" s="188"/>
      <c r="HFC38" s="188"/>
      <c r="HFD38" s="188"/>
      <c r="HFE38" s="188"/>
      <c r="HFF38" s="188"/>
      <c r="HFG38" s="188"/>
      <c r="HFH38" s="188"/>
      <c r="HFI38" s="188"/>
      <c r="HFJ38" s="188"/>
      <c r="HFK38" s="188"/>
      <c r="HFL38" s="188"/>
      <c r="HFM38" s="188"/>
      <c r="HFN38" s="188"/>
      <c r="HFO38" s="188"/>
      <c r="HFP38" s="188"/>
      <c r="HFQ38" s="188"/>
      <c r="HFR38" s="188"/>
      <c r="HFS38" s="188"/>
      <c r="HFT38" s="188"/>
      <c r="HFU38" s="188"/>
      <c r="HFV38" s="188"/>
      <c r="HFW38" s="188"/>
      <c r="HFX38" s="188"/>
      <c r="HFY38" s="188"/>
      <c r="HFZ38" s="188"/>
      <c r="HGA38" s="188"/>
      <c r="HGB38" s="188"/>
      <c r="HGC38" s="188"/>
      <c r="HGD38" s="188"/>
      <c r="HGE38" s="188"/>
      <c r="HGF38" s="188"/>
      <c r="HGG38" s="188"/>
      <c r="HGH38" s="188"/>
      <c r="HGI38" s="188"/>
      <c r="HGJ38" s="188"/>
      <c r="HGK38" s="188"/>
      <c r="HGL38" s="188"/>
      <c r="HGM38" s="188"/>
      <c r="HGN38" s="188"/>
      <c r="HGO38" s="188"/>
      <c r="HGP38" s="188"/>
      <c r="HGQ38" s="188"/>
      <c r="HGR38" s="188"/>
      <c r="HGS38" s="188"/>
      <c r="HGT38" s="188"/>
      <c r="HGU38" s="188"/>
      <c r="HGV38" s="188"/>
      <c r="HGW38" s="188"/>
      <c r="HGX38" s="188"/>
      <c r="HGY38" s="188"/>
      <c r="HGZ38" s="188"/>
      <c r="HHA38" s="188"/>
      <c r="HHB38" s="188"/>
      <c r="HHC38" s="188"/>
      <c r="HHD38" s="188"/>
      <c r="HHE38" s="188"/>
      <c r="HHF38" s="188"/>
      <c r="HHG38" s="188"/>
      <c r="HHH38" s="188"/>
      <c r="HHI38" s="188"/>
      <c r="HHJ38" s="188"/>
      <c r="HHK38" s="188"/>
      <c r="HHL38" s="188"/>
      <c r="HHM38" s="188"/>
      <c r="HHN38" s="188"/>
      <c r="HHO38" s="188"/>
      <c r="HHP38" s="188"/>
      <c r="HHQ38" s="188"/>
      <c r="HHR38" s="188"/>
      <c r="HHS38" s="188"/>
      <c r="HHT38" s="188"/>
      <c r="HHW38" s="188"/>
      <c r="HHZ38" s="188"/>
      <c r="HIC38" s="188"/>
      <c r="HID38" s="188"/>
      <c r="HIE38" s="188"/>
      <c r="HIF38" s="188"/>
      <c r="HIG38" s="188"/>
      <c r="HIH38" s="188"/>
      <c r="HII38" s="188"/>
      <c r="HIJ38" s="188"/>
      <c r="HIK38" s="188"/>
      <c r="HIM38" s="188"/>
      <c r="HIN38" s="188"/>
      <c r="HIO38" s="188"/>
      <c r="HIP38" s="188"/>
      <c r="HIQ38" s="188"/>
      <c r="HIR38" s="188"/>
      <c r="HIS38" s="188"/>
      <c r="HIT38" s="188"/>
      <c r="HIU38" s="188"/>
      <c r="HIV38" s="188"/>
      <c r="HIW38" s="188"/>
      <c r="HIX38" s="188"/>
      <c r="HIY38" s="188"/>
      <c r="HIZ38" s="188"/>
      <c r="HJA38" s="188"/>
      <c r="HJB38" s="188"/>
      <c r="HJC38" s="188"/>
      <c r="HJD38" s="188"/>
      <c r="HJE38" s="188"/>
      <c r="HJF38" s="188"/>
      <c r="HJG38" s="188"/>
      <c r="HJH38" s="188"/>
      <c r="HJI38" s="188"/>
      <c r="HJJ38" s="188"/>
      <c r="HJK38" s="188"/>
      <c r="HJL38" s="188"/>
      <c r="HJM38" s="188"/>
      <c r="HJN38" s="188"/>
      <c r="HJO38" s="188"/>
      <c r="HJP38" s="188"/>
      <c r="HJQ38" s="188"/>
      <c r="HJR38" s="188"/>
      <c r="HJS38" s="188"/>
      <c r="HJT38" s="188"/>
      <c r="HJU38" s="188"/>
      <c r="HJV38" s="188"/>
      <c r="HJW38" s="188"/>
      <c r="HJX38" s="188"/>
      <c r="HJY38" s="188"/>
      <c r="HJZ38" s="188"/>
      <c r="HKA38" s="188"/>
      <c r="HKB38" s="188"/>
      <c r="HKC38" s="188"/>
      <c r="HKD38" s="188"/>
      <c r="HKE38" s="188"/>
      <c r="HKF38" s="188"/>
      <c r="HKG38" s="188"/>
      <c r="HKH38" s="188"/>
      <c r="HKI38" s="188"/>
      <c r="HKJ38" s="188"/>
      <c r="HKK38" s="188"/>
      <c r="HKL38" s="188"/>
      <c r="HKM38" s="188"/>
      <c r="HKN38" s="188"/>
      <c r="HKO38" s="188"/>
      <c r="HKP38" s="188"/>
      <c r="HKQ38" s="188"/>
      <c r="HKR38" s="188"/>
      <c r="HKS38" s="188"/>
      <c r="HKT38" s="188"/>
      <c r="HKU38" s="188"/>
      <c r="HKV38" s="188"/>
      <c r="HKW38" s="188"/>
      <c r="HKX38" s="188"/>
      <c r="HKY38" s="188"/>
      <c r="HKZ38" s="188"/>
      <c r="HLA38" s="188"/>
      <c r="HLB38" s="188"/>
      <c r="HLC38" s="188"/>
      <c r="HLD38" s="188"/>
      <c r="HLE38" s="188"/>
      <c r="HLF38" s="188"/>
      <c r="HLG38" s="188"/>
      <c r="HLH38" s="188"/>
      <c r="HLI38" s="188"/>
      <c r="HLJ38" s="188"/>
      <c r="HLK38" s="188"/>
      <c r="HLL38" s="188"/>
      <c r="HLM38" s="188"/>
      <c r="HLN38" s="188"/>
      <c r="HLO38" s="188"/>
      <c r="HLP38" s="188"/>
      <c r="HLQ38" s="188"/>
      <c r="HLR38" s="188"/>
      <c r="HLS38" s="188"/>
      <c r="HLT38" s="188"/>
      <c r="HLU38" s="188"/>
      <c r="HLV38" s="188"/>
      <c r="HLW38" s="188"/>
      <c r="HLX38" s="188"/>
      <c r="HLY38" s="188"/>
      <c r="HLZ38" s="188"/>
      <c r="HMA38" s="188"/>
      <c r="HMB38" s="188"/>
      <c r="HMC38" s="188"/>
      <c r="HMD38" s="188"/>
      <c r="HME38" s="188"/>
      <c r="HMF38" s="188"/>
      <c r="HMG38" s="188"/>
      <c r="HMH38" s="188"/>
      <c r="HMI38" s="188"/>
      <c r="HMJ38" s="188"/>
      <c r="HMK38" s="188"/>
      <c r="HML38" s="188"/>
      <c r="HMM38" s="188"/>
      <c r="HMN38" s="188"/>
      <c r="HMO38" s="188"/>
      <c r="HMP38" s="188"/>
      <c r="HMQ38" s="188"/>
      <c r="HMR38" s="188"/>
      <c r="HMS38" s="188"/>
      <c r="HMT38" s="188"/>
      <c r="HMU38" s="188"/>
      <c r="HMV38" s="188"/>
      <c r="HMW38" s="188"/>
      <c r="HMX38" s="188"/>
      <c r="HMY38" s="188"/>
      <c r="HMZ38" s="188"/>
      <c r="HNA38" s="188"/>
      <c r="HNB38" s="188"/>
      <c r="HNC38" s="188"/>
      <c r="HND38" s="188"/>
      <c r="HNE38" s="188"/>
      <c r="HNF38" s="188"/>
      <c r="HNG38" s="188"/>
      <c r="HNH38" s="188"/>
      <c r="HNI38" s="188"/>
      <c r="HNJ38" s="188"/>
      <c r="HNK38" s="188"/>
      <c r="HNL38" s="188"/>
      <c r="HNM38" s="188"/>
      <c r="HNN38" s="188"/>
      <c r="HNO38" s="188"/>
      <c r="HNP38" s="188"/>
      <c r="HNQ38" s="188"/>
      <c r="HNR38" s="188"/>
      <c r="HNS38" s="188"/>
      <c r="HNT38" s="188"/>
      <c r="HNU38" s="188"/>
      <c r="HNV38" s="188"/>
      <c r="HNW38" s="188"/>
      <c r="HNX38" s="188"/>
      <c r="HNY38" s="188"/>
      <c r="HNZ38" s="188"/>
      <c r="HOA38" s="188"/>
      <c r="HOB38" s="188"/>
      <c r="HOC38" s="188"/>
      <c r="HOD38" s="188"/>
      <c r="HOE38" s="188"/>
      <c r="HOF38" s="188"/>
      <c r="HOG38" s="188"/>
      <c r="HOH38" s="188"/>
      <c r="HOI38" s="188"/>
      <c r="HOJ38" s="188"/>
      <c r="HOK38" s="188"/>
      <c r="HOL38" s="188"/>
      <c r="HOM38" s="188"/>
      <c r="HON38" s="188"/>
      <c r="HOO38" s="188"/>
      <c r="HOP38" s="188"/>
      <c r="HOQ38" s="188"/>
      <c r="HOR38" s="188"/>
      <c r="HOS38" s="188"/>
      <c r="HOT38" s="188"/>
      <c r="HOU38" s="188"/>
      <c r="HOV38" s="188"/>
      <c r="HOW38" s="188"/>
      <c r="HOX38" s="188"/>
      <c r="HOY38" s="188"/>
      <c r="HOZ38" s="188"/>
      <c r="HPA38" s="188"/>
      <c r="HPB38" s="188"/>
      <c r="HPC38" s="188"/>
      <c r="HPD38" s="188"/>
      <c r="HPE38" s="188"/>
      <c r="HPF38" s="188"/>
      <c r="HPG38" s="188"/>
      <c r="HPH38" s="188"/>
      <c r="HPI38" s="188"/>
      <c r="HPJ38" s="188"/>
      <c r="HPK38" s="188"/>
      <c r="HPL38" s="188"/>
      <c r="HPM38" s="188"/>
      <c r="HPN38" s="188"/>
      <c r="HPO38" s="188"/>
      <c r="HPP38" s="188"/>
      <c r="HPQ38" s="188"/>
      <c r="HPR38" s="188"/>
      <c r="HPS38" s="188"/>
      <c r="HPT38" s="188"/>
      <c r="HPU38" s="188"/>
      <c r="HPV38" s="188"/>
      <c r="HPW38" s="188"/>
      <c r="HPX38" s="188"/>
      <c r="HPY38" s="188"/>
      <c r="HPZ38" s="188"/>
      <c r="HQA38" s="188"/>
      <c r="HQB38" s="188"/>
      <c r="HQC38" s="188"/>
      <c r="HQD38" s="188"/>
      <c r="HQE38" s="188"/>
      <c r="HQF38" s="188"/>
      <c r="HQG38" s="188"/>
      <c r="HQH38" s="188"/>
      <c r="HQI38" s="188"/>
      <c r="HQJ38" s="188"/>
      <c r="HQK38" s="188"/>
      <c r="HQL38" s="188"/>
      <c r="HQM38" s="188"/>
      <c r="HQN38" s="188"/>
      <c r="HQO38" s="188"/>
      <c r="HQP38" s="188"/>
      <c r="HQQ38" s="188"/>
      <c r="HQR38" s="188"/>
      <c r="HQS38" s="188"/>
      <c r="HQT38" s="188"/>
      <c r="HQU38" s="188"/>
      <c r="HQV38" s="188"/>
      <c r="HQW38" s="188"/>
      <c r="HQX38" s="188"/>
      <c r="HQY38" s="188"/>
      <c r="HQZ38" s="188"/>
      <c r="HRA38" s="188"/>
      <c r="HRB38" s="188"/>
      <c r="HRC38" s="188"/>
      <c r="HRD38" s="188"/>
      <c r="HRE38" s="188"/>
      <c r="HRF38" s="188"/>
      <c r="HRG38" s="188"/>
      <c r="HRH38" s="188"/>
      <c r="HRI38" s="188"/>
      <c r="HRJ38" s="188"/>
      <c r="HRK38" s="188"/>
      <c r="HRL38" s="188"/>
      <c r="HRM38" s="188"/>
      <c r="HRN38" s="188"/>
      <c r="HRO38" s="188"/>
      <c r="HRP38" s="188"/>
      <c r="HRS38" s="188"/>
      <c r="HRV38" s="188"/>
      <c r="HRY38" s="188"/>
      <c r="HRZ38" s="188"/>
      <c r="HSA38" s="188"/>
      <c r="HSB38" s="188"/>
      <c r="HSC38" s="188"/>
      <c r="HSD38" s="188"/>
      <c r="HSE38" s="188"/>
      <c r="HSF38" s="188"/>
      <c r="HSG38" s="188"/>
      <c r="HSI38" s="188"/>
      <c r="HSJ38" s="188"/>
      <c r="HSK38" s="188"/>
      <c r="HSL38" s="188"/>
      <c r="HSM38" s="188"/>
      <c r="HSN38" s="188"/>
      <c r="HSO38" s="188"/>
      <c r="HSP38" s="188"/>
      <c r="HSQ38" s="188"/>
      <c r="HSR38" s="188"/>
      <c r="HSS38" s="188"/>
      <c r="HST38" s="188"/>
      <c r="HSU38" s="188"/>
      <c r="HSV38" s="188"/>
      <c r="HSW38" s="188"/>
      <c r="HSX38" s="188"/>
      <c r="HSY38" s="188"/>
      <c r="HSZ38" s="188"/>
      <c r="HTA38" s="188"/>
      <c r="HTB38" s="188"/>
      <c r="HTC38" s="188"/>
      <c r="HTD38" s="188"/>
      <c r="HTE38" s="188"/>
      <c r="HTF38" s="188"/>
      <c r="HTG38" s="188"/>
      <c r="HTH38" s="188"/>
      <c r="HTI38" s="188"/>
      <c r="HTJ38" s="188"/>
      <c r="HTK38" s="188"/>
      <c r="HTL38" s="188"/>
      <c r="HTM38" s="188"/>
      <c r="HTN38" s="188"/>
      <c r="HTO38" s="188"/>
      <c r="HTP38" s="188"/>
      <c r="HTQ38" s="188"/>
      <c r="HTR38" s="188"/>
      <c r="HTS38" s="188"/>
      <c r="HTT38" s="188"/>
      <c r="HTU38" s="188"/>
      <c r="HTV38" s="188"/>
      <c r="HTW38" s="188"/>
      <c r="HTX38" s="188"/>
      <c r="HTY38" s="188"/>
      <c r="HTZ38" s="188"/>
      <c r="HUA38" s="188"/>
      <c r="HUB38" s="188"/>
      <c r="HUC38" s="188"/>
      <c r="HUD38" s="188"/>
      <c r="HUE38" s="188"/>
      <c r="HUF38" s="188"/>
      <c r="HUG38" s="188"/>
      <c r="HUH38" s="188"/>
      <c r="HUI38" s="188"/>
      <c r="HUJ38" s="188"/>
      <c r="HUK38" s="188"/>
      <c r="HUL38" s="188"/>
      <c r="HUM38" s="188"/>
      <c r="HUN38" s="188"/>
      <c r="HUO38" s="188"/>
      <c r="HUP38" s="188"/>
      <c r="HUQ38" s="188"/>
      <c r="HUR38" s="188"/>
      <c r="HUS38" s="188"/>
      <c r="HUT38" s="188"/>
      <c r="HUU38" s="188"/>
      <c r="HUV38" s="188"/>
      <c r="HUW38" s="188"/>
      <c r="HUX38" s="188"/>
      <c r="HUY38" s="188"/>
      <c r="HUZ38" s="188"/>
      <c r="HVA38" s="188"/>
      <c r="HVB38" s="188"/>
      <c r="HVC38" s="188"/>
      <c r="HVD38" s="188"/>
      <c r="HVE38" s="188"/>
      <c r="HVF38" s="188"/>
      <c r="HVG38" s="188"/>
      <c r="HVH38" s="188"/>
      <c r="HVI38" s="188"/>
      <c r="HVJ38" s="188"/>
      <c r="HVK38" s="188"/>
      <c r="HVL38" s="188"/>
      <c r="HVM38" s="188"/>
      <c r="HVN38" s="188"/>
      <c r="HVO38" s="188"/>
      <c r="HVP38" s="188"/>
      <c r="HVQ38" s="188"/>
      <c r="HVR38" s="188"/>
      <c r="HVS38" s="188"/>
      <c r="HVT38" s="188"/>
      <c r="HVU38" s="188"/>
      <c r="HVV38" s="188"/>
      <c r="HVW38" s="188"/>
      <c r="HVX38" s="188"/>
      <c r="HVY38" s="188"/>
      <c r="HVZ38" s="188"/>
      <c r="HWA38" s="188"/>
      <c r="HWB38" s="188"/>
      <c r="HWC38" s="188"/>
      <c r="HWD38" s="188"/>
      <c r="HWE38" s="188"/>
      <c r="HWF38" s="188"/>
      <c r="HWG38" s="188"/>
      <c r="HWH38" s="188"/>
      <c r="HWI38" s="188"/>
      <c r="HWJ38" s="188"/>
      <c r="HWK38" s="188"/>
      <c r="HWL38" s="188"/>
      <c r="HWM38" s="188"/>
      <c r="HWN38" s="188"/>
      <c r="HWO38" s="188"/>
      <c r="HWP38" s="188"/>
      <c r="HWQ38" s="188"/>
      <c r="HWR38" s="188"/>
      <c r="HWS38" s="188"/>
      <c r="HWT38" s="188"/>
      <c r="HWU38" s="188"/>
      <c r="HWV38" s="188"/>
      <c r="HWW38" s="188"/>
      <c r="HWX38" s="188"/>
      <c r="HWY38" s="188"/>
      <c r="HWZ38" s="188"/>
      <c r="HXA38" s="188"/>
      <c r="HXB38" s="188"/>
      <c r="HXC38" s="188"/>
      <c r="HXD38" s="188"/>
      <c r="HXE38" s="188"/>
      <c r="HXF38" s="188"/>
      <c r="HXG38" s="188"/>
      <c r="HXH38" s="188"/>
      <c r="HXI38" s="188"/>
      <c r="HXJ38" s="188"/>
      <c r="HXK38" s="188"/>
      <c r="HXL38" s="188"/>
      <c r="HXM38" s="188"/>
      <c r="HXN38" s="188"/>
      <c r="HXO38" s="188"/>
      <c r="HXP38" s="188"/>
      <c r="HXQ38" s="188"/>
      <c r="HXR38" s="188"/>
      <c r="HXS38" s="188"/>
      <c r="HXT38" s="188"/>
      <c r="HXU38" s="188"/>
      <c r="HXV38" s="188"/>
      <c r="HXW38" s="188"/>
      <c r="HXX38" s="188"/>
      <c r="HXY38" s="188"/>
      <c r="HXZ38" s="188"/>
      <c r="HYA38" s="188"/>
      <c r="HYB38" s="188"/>
      <c r="HYC38" s="188"/>
      <c r="HYD38" s="188"/>
      <c r="HYE38" s="188"/>
      <c r="HYF38" s="188"/>
      <c r="HYG38" s="188"/>
      <c r="HYH38" s="188"/>
      <c r="HYI38" s="188"/>
      <c r="HYJ38" s="188"/>
      <c r="HYK38" s="188"/>
      <c r="HYL38" s="188"/>
      <c r="HYM38" s="188"/>
      <c r="HYN38" s="188"/>
      <c r="HYO38" s="188"/>
      <c r="HYP38" s="188"/>
      <c r="HYQ38" s="188"/>
      <c r="HYR38" s="188"/>
      <c r="HYS38" s="188"/>
      <c r="HYT38" s="188"/>
      <c r="HYU38" s="188"/>
      <c r="HYV38" s="188"/>
      <c r="HYW38" s="188"/>
      <c r="HYX38" s="188"/>
      <c r="HYY38" s="188"/>
      <c r="HYZ38" s="188"/>
      <c r="HZA38" s="188"/>
      <c r="HZB38" s="188"/>
      <c r="HZC38" s="188"/>
      <c r="HZD38" s="188"/>
      <c r="HZE38" s="188"/>
      <c r="HZF38" s="188"/>
      <c r="HZG38" s="188"/>
      <c r="HZH38" s="188"/>
      <c r="HZI38" s="188"/>
      <c r="HZJ38" s="188"/>
      <c r="HZK38" s="188"/>
      <c r="HZL38" s="188"/>
      <c r="HZM38" s="188"/>
      <c r="HZN38" s="188"/>
      <c r="HZO38" s="188"/>
      <c r="HZP38" s="188"/>
      <c r="HZQ38" s="188"/>
      <c r="HZR38" s="188"/>
      <c r="HZS38" s="188"/>
      <c r="HZT38" s="188"/>
      <c r="HZU38" s="188"/>
      <c r="HZV38" s="188"/>
      <c r="HZW38" s="188"/>
      <c r="HZX38" s="188"/>
      <c r="HZY38" s="188"/>
      <c r="HZZ38" s="188"/>
      <c r="IAA38" s="188"/>
      <c r="IAB38" s="188"/>
      <c r="IAC38" s="188"/>
      <c r="IAD38" s="188"/>
      <c r="IAE38" s="188"/>
      <c r="IAF38" s="188"/>
      <c r="IAG38" s="188"/>
      <c r="IAH38" s="188"/>
      <c r="IAI38" s="188"/>
      <c r="IAJ38" s="188"/>
      <c r="IAK38" s="188"/>
      <c r="IAL38" s="188"/>
      <c r="IAM38" s="188"/>
      <c r="IAN38" s="188"/>
      <c r="IAO38" s="188"/>
      <c r="IAP38" s="188"/>
      <c r="IAQ38" s="188"/>
      <c r="IAR38" s="188"/>
      <c r="IAS38" s="188"/>
      <c r="IAT38" s="188"/>
      <c r="IAU38" s="188"/>
      <c r="IAV38" s="188"/>
      <c r="IAW38" s="188"/>
      <c r="IAX38" s="188"/>
      <c r="IAY38" s="188"/>
      <c r="IAZ38" s="188"/>
      <c r="IBA38" s="188"/>
      <c r="IBB38" s="188"/>
      <c r="IBC38" s="188"/>
      <c r="IBD38" s="188"/>
      <c r="IBE38" s="188"/>
      <c r="IBF38" s="188"/>
      <c r="IBG38" s="188"/>
      <c r="IBH38" s="188"/>
      <c r="IBI38" s="188"/>
      <c r="IBJ38" s="188"/>
      <c r="IBK38" s="188"/>
      <c r="IBL38" s="188"/>
      <c r="IBO38" s="188"/>
      <c r="IBR38" s="188"/>
      <c r="IBU38" s="188"/>
      <c r="IBV38" s="188"/>
      <c r="IBW38" s="188"/>
      <c r="IBX38" s="188"/>
      <c r="IBY38" s="188"/>
      <c r="IBZ38" s="188"/>
      <c r="ICA38" s="188"/>
      <c r="ICB38" s="188"/>
      <c r="ICC38" s="188"/>
      <c r="ICE38" s="188"/>
      <c r="ICF38" s="188"/>
      <c r="ICG38" s="188"/>
      <c r="ICH38" s="188"/>
      <c r="ICI38" s="188"/>
      <c r="ICJ38" s="188"/>
      <c r="ICK38" s="188"/>
      <c r="ICL38" s="188"/>
      <c r="ICM38" s="188"/>
      <c r="ICN38" s="188"/>
      <c r="ICO38" s="188"/>
      <c r="ICP38" s="188"/>
      <c r="ICQ38" s="188"/>
      <c r="ICR38" s="188"/>
      <c r="ICS38" s="188"/>
      <c r="ICT38" s="188"/>
      <c r="ICU38" s="188"/>
      <c r="ICV38" s="188"/>
      <c r="ICW38" s="188"/>
      <c r="ICX38" s="188"/>
      <c r="ICY38" s="188"/>
      <c r="ICZ38" s="188"/>
      <c r="IDA38" s="188"/>
      <c r="IDB38" s="188"/>
      <c r="IDC38" s="188"/>
      <c r="IDD38" s="188"/>
      <c r="IDE38" s="188"/>
      <c r="IDF38" s="188"/>
      <c r="IDG38" s="188"/>
      <c r="IDH38" s="188"/>
      <c r="IDI38" s="188"/>
      <c r="IDJ38" s="188"/>
      <c r="IDK38" s="188"/>
      <c r="IDL38" s="188"/>
      <c r="IDM38" s="188"/>
      <c r="IDN38" s="188"/>
      <c r="IDO38" s="188"/>
      <c r="IDP38" s="188"/>
      <c r="IDQ38" s="188"/>
      <c r="IDR38" s="188"/>
      <c r="IDS38" s="188"/>
      <c r="IDT38" s="188"/>
      <c r="IDU38" s="188"/>
      <c r="IDV38" s="188"/>
      <c r="IDW38" s="188"/>
      <c r="IDX38" s="188"/>
      <c r="IDY38" s="188"/>
      <c r="IDZ38" s="188"/>
      <c r="IEA38" s="188"/>
      <c r="IEB38" s="188"/>
      <c r="IEC38" s="188"/>
      <c r="IED38" s="188"/>
      <c r="IEE38" s="188"/>
      <c r="IEF38" s="188"/>
      <c r="IEG38" s="188"/>
      <c r="IEH38" s="188"/>
      <c r="IEI38" s="188"/>
      <c r="IEJ38" s="188"/>
      <c r="IEK38" s="188"/>
      <c r="IEL38" s="188"/>
      <c r="IEM38" s="188"/>
      <c r="IEN38" s="188"/>
      <c r="IEO38" s="188"/>
      <c r="IEP38" s="188"/>
      <c r="IEQ38" s="188"/>
      <c r="IER38" s="188"/>
      <c r="IES38" s="188"/>
      <c r="IET38" s="188"/>
      <c r="IEU38" s="188"/>
      <c r="IEV38" s="188"/>
      <c r="IEW38" s="188"/>
      <c r="IEX38" s="188"/>
      <c r="IEY38" s="188"/>
      <c r="IEZ38" s="188"/>
      <c r="IFA38" s="188"/>
      <c r="IFB38" s="188"/>
      <c r="IFC38" s="188"/>
      <c r="IFD38" s="188"/>
      <c r="IFE38" s="188"/>
      <c r="IFF38" s="188"/>
      <c r="IFG38" s="188"/>
      <c r="IFH38" s="188"/>
      <c r="IFI38" s="188"/>
      <c r="IFJ38" s="188"/>
      <c r="IFK38" s="188"/>
      <c r="IFL38" s="188"/>
      <c r="IFM38" s="188"/>
      <c r="IFN38" s="188"/>
      <c r="IFO38" s="188"/>
      <c r="IFP38" s="188"/>
      <c r="IFQ38" s="188"/>
      <c r="IFR38" s="188"/>
      <c r="IFS38" s="188"/>
      <c r="IFT38" s="188"/>
      <c r="IFU38" s="188"/>
      <c r="IFV38" s="188"/>
      <c r="IFW38" s="188"/>
      <c r="IFX38" s="188"/>
      <c r="IFY38" s="188"/>
      <c r="IFZ38" s="188"/>
      <c r="IGA38" s="188"/>
      <c r="IGB38" s="188"/>
      <c r="IGC38" s="188"/>
      <c r="IGD38" s="188"/>
      <c r="IGE38" s="188"/>
      <c r="IGF38" s="188"/>
      <c r="IGG38" s="188"/>
      <c r="IGH38" s="188"/>
      <c r="IGI38" s="188"/>
      <c r="IGJ38" s="188"/>
      <c r="IGK38" s="188"/>
      <c r="IGL38" s="188"/>
      <c r="IGM38" s="188"/>
      <c r="IGN38" s="188"/>
      <c r="IGO38" s="188"/>
      <c r="IGP38" s="188"/>
      <c r="IGQ38" s="188"/>
      <c r="IGR38" s="188"/>
      <c r="IGS38" s="188"/>
      <c r="IGT38" s="188"/>
      <c r="IGU38" s="188"/>
      <c r="IGV38" s="188"/>
      <c r="IGW38" s="188"/>
      <c r="IGX38" s="188"/>
      <c r="IGY38" s="188"/>
      <c r="IGZ38" s="188"/>
      <c r="IHA38" s="188"/>
      <c r="IHB38" s="188"/>
      <c r="IHC38" s="188"/>
      <c r="IHD38" s="188"/>
      <c r="IHE38" s="188"/>
      <c r="IHF38" s="188"/>
      <c r="IHG38" s="188"/>
      <c r="IHH38" s="188"/>
      <c r="IHI38" s="188"/>
      <c r="IHJ38" s="188"/>
      <c r="IHK38" s="188"/>
      <c r="IHL38" s="188"/>
      <c r="IHM38" s="188"/>
      <c r="IHN38" s="188"/>
      <c r="IHO38" s="188"/>
      <c r="IHP38" s="188"/>
      <c r="IHQ38" s="188"/>
      <c r="IHR38" s="188"/>
      <c r="IHS38" s="188"/>
      <c r="IHT38" s="188"/>
      <c r="IHU38" s="188"/>
      <c r="IHV38" s="188"/>
      <c r="IHW38" s="188"/>
      <c r="IHX38" s="188"/>
      <c r="IHY38" s="188"/>
      <c r="IHZ38" s="188"/>
      <c r="IIA38" s="188"/>
      <c r="IIB38" s="188"/>
      <c r="IIC38" s="188"/>
      <c r="IID38" s="188"/>
      <c r="IIE38" s="188"/>
      <c r="IIF38" s="188"/>
      <c r="IIG38" s="188"/>
      <c r="IIH38" s="188"/>
      <c r="III38" s="188"/>
      <c r="IIJ38" s="188"/>
      <c r="IIK38" s="188"/>
      <c r="IIL38" s="188"/>
      <c r="IIM38" s="188"/>
      <c r="IIN38" s="188"/>
      <c r="IIO38" s="188"/>
      <c r="IIP38" s="188"/>
      <c r="IIQ38" s="188"/>
      <c r="IIR38" s="188"/>
      <c r="IIS38" s="188"/>
      <c r="IIT38" s="188"/>
      <c r="IIU38" s="188"/>
      <c r="IIV38" s="188"/>
      <c r="IIW38" s="188"/>
      <c r="IIX38" s="188"/>
      <c r="IIY38" s="188"/>
      <c r="IIZ38" s="188"/>
      <c r="IJA38" s="188"/>
      <c r="IJB38" s="188"/>
      <c r="IJC38" s="188"/>
      <c r="IJD38" s="188"/>
      <c r="IJE38" s="188"/>
      <c r="IJF38" s="188"/>
      <c r="IJG38" s="188"/>
      <c r="IJH38" s="188"/>
      <c r="IJI38" s="188"/>
      <c r="IJJ38" s="188"/>
      <c r="IJK38" s="188"/>
      <c r="IJL38" s="188"/>
      <c r="IJM38" s="188"/>
      <c r="IJN38" s="188"/>
      <c r="IJO38" s="188"/>
      <c r="IJP38" s="188"/>
      <c r="IJQ38" s="188"/>
      <c r="IJR38" s="188"/>
      <c r="IJS38" s="188"/>
      <c r="IJT38" s="188"/>
      <c r="IJU38" s="188"/>
      <c r="IJV38" s="188"/>
      <c r="IJW38" s="188"/>
      <c r="IJX38" s="188"/>
      <c r="IJY38" s="188"/>
      <c r="IJZ38" s="188"/>
      <c r="IKA38" s="188"/>
      <c r="IKB38" s="188"/>
      <c r="IKC38" s="188"/>
      <c r="IKD38" s="188"/>
      <c r="IKE38" s="188"/>
      <c r="IKF38" s="188"/>
      <c r="IKG38" s="188"/>
      <c r="IKH38" s="188"/>
      <c r="IKI38" s="188"/>
      <c r="IKJ38" s="188"/>
      <c r="IKK38" s="188"/>
      <c r="IKL38" s="188"/>
      <c r="IKM38" s="188"/>
      <c r="IKN38" s="188"/>
      <c r="IKO38" s="188"/>
      <c r="IKP38" s="188"/>
      <c r="IKQ38" s="188"/>
      <c r="IKR38" s="188"/>
      <c r="IKS38" s="188"/>
      <c r="IKT38" s="188"/>
      <c r="IKU38" s="188"/>
      <c r="IKV38" s="188"/>
      <c r="IKW38" s="188"/>
      <c r="IKX38" s="188"/>
      <c r="IKY38" s="188"/>
      <c r="IKZ38" s="188"/>
      <c r="ILA38" s="188"/>
      <c r="ILB38" s="188"/>
      <c r="ILC38" s="188"/>
      <c r="ILD38" s="188"/>
      <c r="ILE38" s="188"/>
      <c r="ILF38" s="188"/>
      <c r="ILG38" s="188"/>
      <c r="ILH38" s="188"/>
      <c r="ILK38" s="188"/>
      <c r="ILN38" s="188"/>
      <c r="ILQ38" s="188"/>
      <c r="ILR38" s="188"/>
      <c r="ILS38" s="188"/>
      <c r="ILT38" s="188"/>
      <c r="ILU38" s="188"/>
      <c r="ILV38" s="188"/>
      <c r="ILW38" s="188"/>
      <c r="ILX38" s="188"/>
      <c r="ILY38" s="188"/>
      <c r="IMA38" s="188"/>
      <c r="IMB38" s="188"/>
      <c r="IMC38" s="188"/>
      <c r="IMD38" s="188"/>
      <c r="IME38" s="188"/>
      <c r="IMF38" s="188"/>
      <c r="IMG38" s="188"/>
      <c r="IMH38" s="188"/>
      <c r="IMI38" s="188"/>
      <c r="IMJ38" s="188"/>
      <c r="IMK38" s="188"/>
      <c r="IML38" s="188"/>
      <c r="IMM38" s="188"/>
      <c r="IMN38" s="188"/>
      <c r="IMO38" s="188"/>
      <c r="IMP38" s="188"/>
      <c r="IMQ38" s="188"/>
      <c r="IMR38" s="188"/>
      <c r="IMS38" s="188"/>
      <c r="IMT38" s="188"/>
      <c r="IMU38" s="188"/>
      <c r="IMV38" s="188"/>
      <c r="IMW38" s="188"/>
      <c r="IMX38" s="188"/>
      <c r="IMY38" s="188"/>
      <c r="IMZ38" s="188"/>
      <c r="INA38" s="188"/>
      <c r="INB38" s="188"/>
      <c r="INC38" s="188"/>
      <c r="IND38" s="188"/>
      <c r="INE38" s="188"/>
      <c r="INF38" s="188"/>
      <c r="ING38" s="188"/>
      <c r="INH38" s="188"/>
      <c r="INI38" s="188"/>
      <c r="INJ38" s="188"/>
      <c r="INK38" s="188"/>
      <c r="INL38" s="188"/>
      <c r="INM38" s="188"/>
      <c r="INN38" s="188"/>
      <c r="INO38" s="188"/>
      <c r="INP38" s="188"/>
      <c r="INQ38" s="188"/>
      <c r="INR38" s="188"/>
      <c r="INS38" s="188"/>
      <c r="INT38" s="188"/>
      <c r="INU38" s="188"/>
      <c r="INV38" s="188"/>
      <c r="INW38" s="188"/>
      <c r="INX38" s="188"/>
      <c r="INY38" s="188"/>
      <c r="INZ38" s="188"/>
      <c r="IOA38" s="188"/>
      <c r="IOB38" s="188"/>
      <c r="IOC38" s="188"/>
      <c r="IOD38" s="188"/>
      <c r="IOE38" s="188"/>
      <c r="IOF38" s="188"/>
      <c r="IOG38" s="188"/>
      <c r="IOH38" s="188"/>
      <c r="IOI38" s="188"/>
      <c r="IOJ38" s="188"/>
      <c r="IOK38" s="188"/>
      <c r="IOL38" s="188"/>
      <c r="IOM38" s="188"/>
      <c r="ION38" s="188"/>
      <c r="IOO38" s="188"/>
      <c r="IOP38" s="188"/>
      <c r="IOQ38" s="188"/>
      <c r="IOR38" s="188"/>
      <c r="IOS38" s="188"/>
      <c r="IOT38" s="188"/>
      <c r="IOU38" s="188"/>
      <c r="IOV38" s="188"/>
      <c r="IOW38" s="188"/>
      <c r="IOX38" s="188"/>
      <c r="IOY38" s="188"/>
      <c r="IOZ38" s="188"/>
      <c r="IPA38" s="188"/>
      <c r="IPB38" s="188"/>
      <c r="IPC38" s="188"/>
      <c r="IPD38" s="188"/>
      <c r="IPE38" s="188"/>
      <c r="IPF38" s="188"/>
      <c r="IPG38" s="188"/>
      <c r="IPH38" s="188"/>
      <c r="IPI38" s="188"/>
      <c r="IPJ38" s="188"/>
      <c r="IPK38" s="188"/>
      <c r="IPL38" s="188"/>
      <c r="IPM38" s="188"/>
      <c r="IPN38" s="188"/>
      <c r="IPO38" s="188"/>
      <c r="IPP38" s="188"/>
      <c r="IPQ38" s="188"/>
      <c r="IPR38" s="188"/>
      <c r="IPS38" s="188"/>
      <c r="IPT38" s="188"/>
      <c r="IPU38" s="188"/>
      <c r="IPV38" s="188"/>
      <c r="IPW38" s="188"/>
      <c r="IPX38" s="188"/>
      <c r="IPY38" s="188"/>
      <c r="IPZ38" s="188"/>
      <c r="IQA38" s="188"/>
      <c r="IQB38" s="188"/>
      <c r="IQC38" s="188"/>
      <c r="IQD38" s="188"/>
      <c r="IQE38" s="188"/>
      <c r="IQF38" s="188"/>
      <c r="IQG38" s="188"/>
      <c r="IQH38" s="188"/>
      <c r="IQI38" s="188"/>
      <c r="IQJ38" s="188"/>
      <c r="IQK38" s="188"/>
      <c r="IQL38" s="188"/>
      <c r="IQM38" s="188"/>
      <c r="IQN38" s="188"/>
      <c r="IQO38" s="188"/>
      <c r="IQP38" s="188"/>
      <c r="IQQ38" s="188"/>
      <c r="IQR38" s="188"/>
      <c r="IQS38" s="188"/>
      <c r="IQT38" s="188"/>
      <c r="IQU38" s="188"/>
      <c r="IQV38" s="188"/>
      <c r="IQW38" s="188"/>
      <c r="IQX38" s="188"/>
      <c r="IQY38" s="188"/>
      <c r="IQZ38" s="188"/>
      <c r="IRA38" s="188"/>
      <c r="IRB38" s="188"/>
      <c r="IRC38" s="188"/>
      <c r="IRD38" s="188"/>
      <c r="IRE38" s="188"/>
      <c r="IRF38" s="188"/>
      <c r="IRG38" s="188"/>
      <c r="IRH38" s="188"/>
      <c r="IRI38" s="188"/>
      <c r="IRJ38" s="188"/>
      <c r="IRK38" s="188"/>
      <c r="IRL38" s="188"/>
      <c r="IRM38" s="188"/>
      <c r="IRN38" s="188"/>
      <c r="IRO38" s="188"/>
      <c r="IRP38" s="188"/>
      <c r="IRQ38" s="188"/>
      <c r="IRR38" s="188"/>
      <c r="IRS38" s="188"/>
      <c r="IRT38" s="188"/>
      <c r="IRU38" s="188"/>
      <c r="IRV38" s="188"/>
      <c r="IRW38" s="188"/>
      <c r="IRX38" s="188"/>
      <c r="IRY38" s="188"/>
      <c r="IRZ38" s="188"/>
      <c r="ISA38" s="188"/>
      <c r="ISB38" s="188"/>
      <c r="ISC38" s="188"/>
      <c r="ISD38" s="188"/>
      <c r="ISE38" s="188"/>
      <c r="ISF38" s="188"/>
      <c r="ISG38" s="188"/>
      <c r="ISH38" s="188"/>
      <c r="ISI38" s="188"/>
      <c r="ISJ38" s="188"/>
      <c r="ISK38" s="188"/>
      <c r="ISL38" s="188"/>
      <c r="ISM38" s="188"/>
      <c r="ISN38" s="188"/>
      <c r="ISO38" s="188"/>
      <c r="ISP38" s="188"/>
      <c r="ISQ38" s="188"/>
      <c r="ISR38" s="188"/>
      <c r="ISS38" s="188"/>
      <c r="IST38" s="188"/>
      <c r="ISU38" s="188"/>
      <c r="ISV38" s="188"/>
      <c r="ISW38" s="188"/>
      <c r="ISX38" s="188"/>
      <c r="ISY38" s="188"/>
      <c r="ISZ38" s="188"/>
      <c r="ITA38" s="188"/>
      <c r="ITB38" s="188"/>
      <c r="ITC38" s="188"/>
      <c r="ITD38" s="188"/>
      <c r="ITE38" s="188"/>
      <c r="ITF38" s="188"/>
      <c r="ITG38" s="188"/>
      <c r="ITH38" s="188"/>
      <c r="ITI38" s="188"/>
      <c r="ITJ38" s="188"/>
      <c r="ITK38" s="188"/>
      <c r="ITL38" s="188"/>
      <c r="ITM38" s="188"/>
      <c r="ITN38" s="188"/>
      <c r="ITO38" s="188"/>
      <c r="ITP38" s="188"/>
      <c r="ITQ38" s="188"/>
      <c r="ITR38" s="188"/>
      <c r="ITS38" s="188"/>
      <c r="ITT38" s="188"/>
      <c r="ITU38" s="188"/>
      <c r="ITV38" s="188"/>
      <c r="ITW38" s="188"/>
      <c r="ITX38" s="188"/>
      <c r="ITY38" s="188"/>
      <c r="ITZ38" s="188"/>
      <c r="IUA38" s="188"/>
      <c r="IUB38" s="188"/>
      <c r="IUC38" s="188"/>
      <c r="IUD38" s="188"/>
      <c r="IUE38" s="188"/>
      <c r="IUF38" s="188"/>
      <c r="IUG38" s="188"/>
      <c r="IUH38" s="188"/>
      <c r="IUI38" s="188"/>
      <c r="IUJ38" s="188"/>
      <c r="IUK38" s="188"/>
      <c r="IUL38" s="188"/>
      <c r="IUM38" s="188"/>
      <c r="IUN38" s="188"/>
      <c r="IUO38" s="188"/>
      <c r="IUP38" s="188"/>
      <c r="IUQ38" s="188"/>
      <c r="IUR38" s="188"/>
      <c r="IUS38" s="188"/>
      <c r="IUT38" s="188"/>
      <c r="IUU38" s="188"/>
      <c r="IUV38" s="188"/>
      <c r="IUW38" s="188"/>
      <c r="IUX38" s="188"/>
      <c r="IUY38" s="188"/>
      <c r="IUZ38" s="188"/>
      <c r="IVA38" s="188"/>
      <c r="IVB38" s="188"/>
      <c r="IVC38" s="188"/>
      <c r="IVD38" s="188"/>
      <c r="IVG38" s="188"/>
      <c r="IVJ38" s="188"/>
      <c r="IVM38" s="188"/>
      <c r="IVN38" s="188"/>
      <c r="IVO38" s="188"/>
      <c r="IVP38" s="188"/>
      <c r="IVQ38" s="188"/>
      <c r="IVR38" s="188"/>
      <c r="IVS38" s="188"/>
      <c r="IVT38" s="188"/>
      <c r="IVU38" s="188"/>
      <c r="IVW38" s="188"/>
      <c r="IVX38" s="188"/>
      <c r="IVY38" s="188"/>
      <c r="IVZ38" s="188"/>
      <c r="IWA38" s="188"/>
      <c r="IWB38" s="188"/>
      <c r="IWC38" s="188"/>
      <c r="IWD38" s="188"/>
      <c r="IWE38" s="188"/>
      <c r="IWF38" s="188"/>
      <c r="IWG38" s="188"/>
      <c r="IWH38" s="188"/>
      <c r="IWI38" s="188"/>
      <c r="IWJ38" s="188"/>
      <c r="IWK38" s="188"/>
      <c r="IWL38" s="188"/>
      <c r="IWM38" s="188"/>
      <c r="IWN38" s="188"/>
      <c r="IWO38" s="188"/>
      <c r="IWP38" s="188"/>
      <c r="IWQ38" s="188"/>
      <c r="IWR38" s="188"/>
      <c r="IWS38" s="188"/>
      <c r="IWT38" s="188"/>
      <c r="IWU38" s="188"/>
      <c r="IWV38" s="188"/>
      <c r="IWW38" s="188"/>
      <c r="IWX38" s="188"/>
      <c r="IWY38" s="188"/>
      <c r="IWZ38" s="188"/>
      <c r="IXA38" s="188"/>
      <c r="IXB38" s="188"/>
      <c r="IXC38" s="188"/>
      <c r="IXD38" s="188"/>
      <c r="IXE38" s="188"/>
      <c r="IXF38" s="188"/>
      <c r="IXG38" s="188"/>
      <c r="IXH38" s="188"/>
      <c r="IXI38" s="188"/>
      <c r="IXJ38" s="188"/>
      <c r="IXK38" s="188"/>
      <c r="IXL38" s="188"/>
      <c r="IXM38" s="188"/>
      <c r="IXN38" s="188"/>
      <c r="IXO38" s="188"/>
      <c r="IXP38" s="188"/>
      <c r="IXQ38" s="188"/>
      <c r="IXR38" s="188"/>
      <c r="IXS38" s="188"/>
      <c r="IXT38" s="188"/>
      <c r="IXU38" s="188"/>
      <c r="IXV38" s="188"/>
      <c r="IXW38" s="188"/>
      <c r="IXX38" s="188"/>
      <c r="IXY38" s="188"/>
      <c r="IXZ38" s="188"/>
      <c r="IYA38" s="188"/>
      <c r="IYB38" s="188"/>
      <c r="IYC38" s="188"/>
      <c r="IYD38" s="188"/>
      <c r="IYE38" s="188"/>
      <c r="IYF38" s="188"/>
      <c r="IYG38" s="188"/>
      <c r="IYH38" s="188"/>
      <c r="IYI38" s="188"/>
      <c r="IYJ38" s="188"/>
      <c r="IYK38" s="188"/>
      <c r="IYL38" s="188"/>
      <c r="IYM38" s="188"/>
      <c r="IYN38" s="188"/>
      <c r="IYO38" s="188"/>
      <c r="IYP38" s="188"/>
      <c r="IYQ38" s="188"/>
      <c r="IYR38" s="188"/>
      <c r="IYS38" s="188"/>
      <c r="IYT38" s="188"/>
      <c r="IYU38" s="188"/>
      <c r="IYV38" s="188"/>
      <c r="IYW38" s="188"/>
      <c r="IYX38" s="188"/>
      <c r="IYY38" s="188"/>
      <c r="IYZ38" s="188"/>
      <c r="IZA38" s="188"/>
      <c r="IZB38" s="188"/>
      <c r="IZC38" s="188"/>
      <c r="IZD38" s="188"/>
      <c r="IZE38" s="188"/>
      <c r="IZF38" s="188"/>
      <c r="IZG38" s="188"/>
      <c r="IZH38" s="188"/>
      <c r="IZI38" s="188"/>
      <c r="IZJ38" s="188"/>
      <c r="IZK38" s="188"/>
      <c r="IZL38" s="188"/>
      <c r="IZM38" s="188"/>
      <c r="IZN38" s="188"/>
      <c r="IZO38" s="188"/>
      <c r="IZP38" s="188"/>
      <c r="IZQ38" s="188"/>
      <c r="IZR38" s="188"/>
      <c r="IZS38" s="188"/>
      <c r="IZT38" s="188"/>
      <c r="IZU38" s="188"/>
      <c r="IZV38" s="188"/>
      <c r="IZW38" s="188"/>
      <c r="IZX38" s="188"/>
      <c r="IZY38" s="188"/>
      <c r="IZZ38" s="188"/>
      <c r="JAA38" s="188"/>
      <c r="JAB38" s="188"/>
      <c r="JAC38" s="188"/>
      <c r="JAD38" s="188"/>
      <c r="JAE38" s="188"/>
      <c r="JAF38" s="188"/>
      <c r="JAG38" s="188"/>
      <c r="JAH38" s="188"/>
      <c r="JAI38" s="188"/>
      <c r="JAJ38" s="188"/>
      <c r="JAK38" s="188"/>
      <c r="JAL38" s="188"/>
      <c r="JAM38" s="188"/>
      <c r="JAN38" s="188"/>
      <c r="JAO38" s="188"/>
      <c r="JAP38" s="188"/>
      <c r="JAQ38" s="188"/>
      <c r="JAR38" s="188"/>
      <c r="JAS38" s="188"/>
      <c r="JAT38" s="188"/>
      <c r="JAU38" s="188"/>
      <c r="JAV38" s="188"/>
      <c r="JAW38" s="188"/>
      <c r="JAX38" s="188"/>
      <c r="JAY38" s="188"/>
      <c r="JAZ38" s="188"/>
      <c r="JBA38" s="188"/>
      <c r="JBB38" s="188"/>
      <c r="JBC38" s="188"/>
      <c r="JBD38" s="188"/>
      <c r="JBE38" s="188"/>
      <c r="JBF38" s="188"/>
      <c r="JBG38" s="188"/>
      <c r="JBH38" s="188"/>
      <c r="JBI38" s="188"/>
      <c r="JBJ38" s="188"/>
      <c r="JBK38" s="188"/>
      <c r="JBL38" s="188"/>
      <c r="JBM38" s="188"/>
      <c r="JBN38" s="188"/>
      <c r="JBO38" s="188"/>
      <c r="JBP38" s="188"/>
      <c r="JBQ38" s="188"/>
      <c r="JBR38" s="188"/>
      <c r="JBS38" s="188"/>
      <c r="JBT38" s="188"/>
      <c r="JBU38" s="188"/>
      <c r="JBV38" s="188"/>
      <c r="JBW38" s="188"/>
      <c r="JBX38" s="188"/>
      <c r="JBY38" s="188"/>
      <c r="JBZ38" s="188"/>
      <c r="JCA38" s="188"/>
      <c r="JCB38" s="188"/>
      <c r="JCC38" s="188"/>
      <c r="JCD38" s="188"/>
      <c r="JCE38" s="188"/>
      <c r="JCF38" s="188"/>
      <c r="JCG38" s="188"/>
      <c r="JCH38" s="188"/>
      <c r="JCI38" s="188"/>
      <c r="JCJ38" s="188"/>
      <c r="JCK38" s="188"/>
      <c r="JCL38" s="188"/>
      <c r="JCM38" s="188"/>
      <c r="JCN38" s="188"/>
      <c r="JCO38" s="188"/>
      <c r="JCP38" s="188"/>
      <c r="JCQ38" s="188"/>
      <c r="JCR38" s="188"/>
      <c r="JCS38" s="188"/>
      <c r="JCT38" s="188"/>
      <c r="JCU38" s="188"/>
      <c r="JCV38" s="188"/>
      <c r="JCW38" s="188"/>
      <c r="JCX38" s="188"/>
      <c r="JCY38" s="188"/>
      <c r="JCZ38" s="188"/>
      <c r="JDA38" s="188"/>
      <c r="JDB38" s="188"/>
      <c r="JDC38" s="188"/>
      <c r="JDD38" s="188"/>
      <c r="JDE38" s="188"/>
      <c r="JDF38" s="188"/>
      <c r="JDG38" s="188"/>
      <c r="JDH38" s="188"/>
      <c r="JDI38" s="188"/>
      <c r="JDJ38" s="188"/>
      <c r="JDK38" s="188"/>
      <c r="JDL38" s="188"/>
      <c r="JDM38" s="188"/>
      <c r="JDN38" s="188"/>
      <c r="JDO38" s="188"/>
      <c r="JDP38" s="188"/>
      <c r="JDQ38" s="188"/>
      <c r="JDR38" s="188"/>
      <c r="JDS38" s="188"/>
      <c r="JDT38" s="188"/>
      <c r="JDU38" s="188"/>
      <c r="JDV38" s="188"/>
      <c r="JDW38" s="188"/>
      <c r="JDX38" s="188"/>
      <c r="JDY38" s="188"/>
      <c r="JDZ38" s="188"/>
      <c r="JEA38" s="188"/>
      <c r="JEB38" s="188"/>
      <c r="JEC38" s="188"/>
      <c r="JED38" s="188"/>
      <c r="JEE38" s="188"/>
      <c r="JEF38" s="188"/>
      <c r="JEG38" s="188"/>
      <c r="JEH38" s="188"/>
      <c r="JEI38" s="188"/>
      <c r="JEJ38" s="188"/>
      <c r="JEK38" s="188"/>
      <c r="JEL38" s="188"/>
      <c r="JEM38" s="188"/>
      <c r="JEN38" s="188"/>
      <c r="JEO38" s="188"/>
      <c r="JEP38" s="188"/>
      <c r="JEQ38" s="188"/>
      <c r="JER38" s="188"/>
      <c r="JES38" s="188"/>
      <c r="JET38" s="188"/>
      <c r="JEU38" s="188"/>
      <c r="JEV38" s="188"/>
      <c r="JEW38" s="188"/>
      <c r="JEX38" s="188"/>
      <c r="JEY38" s="188"/>
      <c r="JEZ38" s="188"/>
      <c r="JFC38" s="188"/>
      <c r="JFF38" s="188"/>
      <c r="JFI38" s="188"/>
      <c r="JFJ38" s="188"/>
      <c r="JFK38" s="188"/>
      <c r="JFL38" s="188"/>
      <c r="JFM38" s="188"/>
      <c r="JFN38" s="188"/>
      <c r="JFO38" s="188"/>
      <c r="JFP38" s="188"/>
      <c r="JFQ38" s="188"/>
      <c r="JFS38" s="188"/>
      <c r="JFT38" s="188"/>
      <c r="JFU38" s="188"/>
      <c r="JFV38" s="188"/>
      <c r="JFW38" s="188"/>
      <c r="JFX38" s="188"/>
      <c r="JFY38" s="188"/>
      <c r="JFZ38" s="188"/>
      <c r="JGA38" s="188"/>
      <c r="JGB38" s="188"/>
      <c r="JGC38" s="188"/>
      <c r="JGD38" s="188"/>
      <c r="JGE38" s="188"/>
      <c r="JGF38" s="188"/>
      <c r="JGG38" s="188"/>
      <c r="JGH38" s="188"/>
      <c r="JGI38" s="188"/>
      <c r="JGJ38" s="188"/>
      <c r="JGK38" s="188"/>
      <c r="JGL38" s="188"/>
      <c r="JGM38" s="188"/>
      <c r="JGN38" s="188"/>
      <c r="JGO38" s="188"/>
      <c r="JGP38" s="188"/>
      <c r="JGQ38" s="188"/>
      <c r="JGR38" s="188"/>
      <c r="JGS38" s="188"/>
      <c r="JGT38" s="188"/>
      <c r="JGU38" s="188"/>
      <c r="JGV38" s="188"/>
      <c r="JGW38" s="188"/>
      <c r="JGX38" s="188"/>
      <c r="JGY38" s="188"/>
      <c r="JGZ38" s="188"/>
      <c r="JHA38" s="188"/>
      <c r="JHB38" s="188"/>
      <c r="JHC38" s="188"/>
      <c r="JHD38" s="188"/>
      <c r="JHE38" s="188"/>
      <c r="JHF38" s="188"/>
      <c r="JHG38" s="188"/>
      <c r="JHH38" s="188"/>
      <c r="JHI38" s="188"/>
      <c r="JHJ38" s="188"/>
      <c r="JHK38" s="188"/>
      <c r="JHL38" s="188"/>
      <c r="JHM38" s="188"/>
      <c r="JHN38" s="188"/>
      <c r="JHO38" s="188"/>
      <c r="JHP38" s="188"/>
      <c r="JHQ38" s="188"/>
      <c r="JHR38" s="188"/>
      <c r="JHS38" s="188"/>
      <c r="JHT38" s="188"/>
      <c r="JHU38" s="188"/>
      <c r="JHV38" s="188"/>
      <c r="JHW38" s="188"/>
      <c r="JHX38" s="188"/>
      <c r="JHY38" s="188"/>
      <c r="JHZ38" s="188"/>
      <c r="JIA38" s="188"/>
      <c r="JIB38" s="188"/>
      <c r="JIC38" s="188"/>
      <c r="JID38" s="188"/>
      <c r="JIE38" s="188"/>
      <c r="JIF38" s="188"/>
      <c r="JIG38" s="188"/>
      <c r="JIH38" s="188"/>
      <c r="JII38" s="188"/>
      <c r="JIJ38" s="188"/>
      <c r="JIK38" s="188"/>
      <c r="JIL38" s="188"/>
      <c r="JIM38" s="188"/>
      <c r="JIN38" s="188"/>
      <c r="JIO38" s="188"/>
      <c r="JIP38" s="188"/>
      <c r="JIQ38" s="188"/>
      <c r="JIR38" s="188"/>
      <c r="JIS38" s="188"/>
      <c r="JIT38" s="188"/>
      <c r="JIU38" s="188"/>
      <c r="JIV38" s="188"/>
      <c r="JIW38" s="188"/>
      <c r="JIX38" s="188"/>
      <c r="JIY38" s="188"/>
      <c r="JIZ38" s="188"/>
      <c r="JJA38" s="188"/>
      <c r="JJB38" s="188"/>
      <c r="JJC38" s="188"/>
      <c r="JJD38" s="188"/>
      <c r="JJE38" s="188"/>
      <c r="JJF38" s="188"/>
      <c r="JJG38" s="188"/>
      <c r="JJH38" s="188"/>
      <c r="JJI38" s="188"/>
      <c r="JJJ38" s="188"/>
      <c r="JJK38" s="188"/>
      <c r="JJL38" s="188"/>
      <c r="JJM38" s="188"/>
      <c r="JJN38" s="188"/>
      <c r="JJO38" s="188"/>
      <c r="JJP38" s="188"/>
      <c r="JJQ38" s="188"/>
      <c r="JJR38" s="188"/>
      <c r="JJS38" s="188"/>
      <c r="JJT38" s="188"/>
      <c r="JJU38" s="188"/>
      <c r="JJV38" s="188"/>
      <c r="JJW38" s="188"/>
      <c r="JJX38" s="188"/>
      <c r="JJY38" s="188"/>
      <c r="JJZ38" s="188"/>
      <c r="JKA38" s="188"/>
      <c r="JKB38" s="188"/>
      <c r="JKC38" s="188"/>
      <c r="JKD38" s="188"/>
      <c r="JKE38" s="188"/>
      <c r="JKF38" s="188"/>
      <c r="JKG38" s="188"/>
      <c r="JKH38" s="188"/>
      <c r="JKI38" s="188"/>
      <c r="JKJ38" s="188"/>
      <c r="JKK38" s="188"/>
      <c r="JKL38" s="188"/>
      <c r="JKM38" s="188"/>
      <c r="JKN38" s="188"/>
      <c r="JKO38" s="188"/>
      <c r="JKP38" s="188"/>
      <c r="JKQ38" s="188"/>
      <c r="JKR38" s="188"/>
      <c r="JKS38" s="188"/>
      <c r="JKT38" s="188"/>
      <c r="JKU38" s="188"/>
      <c r="JKV38" s="188"/>
      <c r="JKW38" s="188"/>
      <c r="JKX38" s="188"/>
      <c r="JKY38" s="188"/>
      <c r="JKZ38" s="188"/>
      <c r="JLA38" s="188"/>
      <c r="JLB38" s="188"/>
      <c r="JLC38" s="188"/>
      <c r="JLD38" s="188"/>
      <c r="JLE38" s="188"/>
      <c r="JLF38" s="188"/>
      <c r="JLG38" s="188"/>
      <c r="JLH38" s="188"/>
      <c r="JLI38" s="188"/>
      <c r="JLJ38" s="188"/>
      <c r="JLK38" s="188"/>
      <c r="JLL38" s="188"/>
      <c r="JLM38" s="188"/>
      <c r="JLN38" s="188"/>
      <c r="JLO38" s="188"/>
      <c r="JLP38" s="188"/>
      <c r="JLQ38" s="188"/>
      <c r="JLR38" s="188"/>
      <c r="JLS38" s="188"/>
      <c r="JLT38" s="188"/>
      <c r="JLU38" s="188"/>
      <c r="JLV38" s="188"/>
      <c r="JLW38" s="188"/>
      <c r="JLX38" s="188"/>
      <c r="JLY38" s="188"/>
      <c r="JLZ38" s="188"/>
      <c r="JMA38" s="188"/>
      <c r="JMB38" s="188"/>
      <c r="JMC38" s="188"/>
      <c r="JMD38" s="188"/>
      <c r="JME38" s="188"/>
      <c r="JMF38" s="188"/>
      <c r="JMG38" s="188"/>
      <c r="JMH38" s="188"/>
      <c r="JMI38" s="188"/>
      <c r="JMJ38" s="188"/>
      <c r="JMK38" s="188"/>
      <c r="JML38" s="188"/>
      <c r="JMM38" s="188"/>
      <c r="JMN38" s="188"/>
      <c r="JMO38" s="188"/>
      <c r="JMP38" s="188"/>
      <c r="JMQ38" s="188"/>
      <c r="JMR38" s="188"/>
      <c r="JMS38" s="188"/>
      <c r="JMT38" s="188"/>
      <c r="JMU38" s="188"/>
      <c r="JMV38" s="188"/>
      <c r="JMW38" s="188"/>
      <c r="JMX38" s="188"/>
      <c r="JMY38" s="188"/>
      <c r="JMZ38" s="188"/>
      <c r="JNA38" s="188"/>
      <c r="JNB38" s="188"/>
      <c r="JNC38" s="188"/>
      <c r="JND38" s="188"/>
      <c r="JNE38" s="188"/>
      <c r="JNF38" s="188"/>
      <c r="JNG38" s="188"/>
      <c r="JNH38" s="188"/>
      <c r="JNI38" s="188"/>
      <c r="JNJ38" s="188"/>
      <c r="JNK38" s="188"/>
      <c r="JNL38" s="188"/>
      <c r="JNM38" s="188"/>
      <c r="JNN38" s="188"/>
      <c r="JNO38" s="188"/>
      <c r="JNP38" s="188"/>
      <c r="JNQ38" s="188"/>
      <c r="JNR38" s="188"/>
      <c r="JNS38" s="188"/>
      <c r="JNT38" s="188"/>
      <c r="JNU38" s="188"/>
      <c r="JNV38" s="188"/>
      <c r="JNW38" s="188"/>
      <c r="JNX38" s="188"/>
      <c r="JNY38" s="188"/>
      <c r="JNZ38" s="188"/>
      <c r="JOA38" s="188"/>
      <c r="JOB38" s="188"/>
      <c r="JOC38" s="188"/>
      <c r="JOD38" s="188"/>
      <c r="JOE38" s="188"/>
      <c r="JOF38" s="188"/>
      <c r="JOG38" s="188"/>
      <c r="JOH38" s="188"/>
      <c r="JOI38" s="188"/>
      <c r="JOJ38" s="188"/>
      <c r="JOK38" s="188"/>
      <c r="JOL38" s="188"/>
      <c r="JOM38" s="188"/>
      <c r="JON38" s="188"/>
      <c r="JOO38" s="188"/>
      <c r="JOP38" s="188"/>
      <c r="JOQ38" s="188"/>
      <c r="JOR38" s="188"/>
      <c r="JOS38" s="188"/>
      <c r="JOT38" s="188"/>
      <c r="JOU38" s="188"/>
      <c r="JOV38" s="188"/>
      <c r="JOY38" s="188"/>
      <c r="JPB38" s="188"/>
      <c r="JPE38" s="188"/>
      <c r="JPF38" s="188"/>
      <c r="JPG38" s="188"/>
      <c r="JPH38" s="188"/>
      <c r="JPI38" s="188"/>
      <c r="JPJ38" s="188"/>
      <c r="JPK38" s="188"/>
      <c r="JPL38" s="188"/>
      <c r="JPM38" s="188"/>
      <c r="JPO38" s="188"/>
      <c r="JPP38" s="188"/>
      <c r="JPQ38" s="188"/>
      <c r="JPR38" s="188"/>
      <c r="JPS38" s="188"/>
      <c r="JPT38" s="188"/>
      <c r="JPU38" s="188"/>
      <c r="JPV38" s="188"/>
      <c r="JPW38" s="188"/>
      <c r="JPX38" s="188"/>
      <c r="JPY38" s="188"/>
      <c r="JPZ38" s="188"/>
      <c r="JQA38" s="188"/>
      <c r="JQB38" s="188"/>
      <c r="JQC38" s="188"/>
      <c r="JQD38" s="188"/>
      <c r="JQE38" s="188"/>
      <c r="JQF38" s="188"/>
      <c r="JQG38" s="188"/>
      <c r="JQH38" s="188"/>
      <c r="JQI38" s="188"/>
      <c r="JQJ38" s="188"/>
      <c r="JQK38" s="188"/>
      <c r="JQL38" s="188"/>
      <c r="JQM38" s="188"/>
      <c r="JQN38" s="188"/>
      <c r="JQO38" s="188"/>
      <c r="JQP38" s="188"/>
      <c r="JQQ38" s="188"/>
      <c r="JQR38" s="188"/>
      <c r="JQS38" s="188"/>
      <c r="JQT38" s="188"/>
      <c r="JQU38" s="188"/>
      <c r="JQV38" s="188"/>
      <c r="JQW38" s="188"/>
      <c r="JQX38" s="188"/>
      <c r="JQY38" s="188"/>
      <c r="JQZ38" s="188"/>
      <c r="JRA38" s="188"/>
      <c r="JRB38" s="188"/>
      <c r="JRC38" s="188"/>
      <c r="JRD38" s="188"/>
      <c r="JRE38" s="188"/>
      <c r="JRF38" s="188"/>
      <c r="JRG38" s="188"/>
      <c r="JRH38" s="188"/>
      <c r="JRI38" s="188"/>
      <c r="JRJ38" s="188"/>
      <c r="JRK38" s="188"/>
      <c r="JRL38" s="188"/>
      <c r="JRM38" s="188"/>
      <c r="JRN38" s="188"/>
      <c r="JRO38" s="188"/>
      <c r="JRP38" s="188"/>
      <c r="JRQ38" s="188"/>
      <c r="JRR38" s="188"/>
      <c r="JRS38" s="188"/>
      <c r="JRT38" s="188"/>
      <c r="JRU38" s="188"/>
      <c r="JRV38" s="188"/>
      <c r="JRW38" s="188"/>
      <c r="JRX38" s="188"/>
      <c r="JRY38" s="188"/>
      <c r="JRZ38" s="188"/>
      <c r="JSA38" s="188"/>
      <c r="JSB38" s="188"/>
      <c r="JSC38" s="188"/>
      <c r="JSD38" s="188"/>
      <c r="JSE38" s="188"/>
      <c r="JSF38" s="188"/>
      <c r="JSG38" s="188"/>
      <c r="JSH38" s="188"/>
      <c r="JSI38" s="188"/>
      <c r="JSJ38" s="188"/>
      <c r="JSK38" s="188"/>
      <c r="JSL38" s="188"/>
      <c r="JSM38" s="188"/>
      <c r="JSN38" s="188"/>
      <c r="JSO38" s="188"/>
      <c r="JSP38" s="188"/>
      <c r="JSQ38" s="188"/>
      <c r="JSR38" s="188"/>
      <c r="JSS38" s="188"/>
      <c r="JST38" s="188"/>
      <c r="JSU38" s="188"/>
      <c r="JSV38" s="188"/>
      <c r="JSW38" s="188"/>
      <c r="JSX38" s="188"/>
      <c r="JSY38" s="188"/>
      <c r="JSZ38" s="188"/>
      <c r="JTA38" s="188"/>
      <c r="JTB38" s="188"/>
      <c r="JTC38" s="188"/>
      <c r="JTD38" s="188"/>
      <c r="JTE38" s="188"/>
      <c r="JTF38" s="188"/>
      <c r="JTG38" s="188"/>
      <c r="JTH38" s="188"/>
      <c r="JTI38" s="188"/>
      <c r="JTJ38" s="188"/>
      <c r="JTK38" s="188"/>
      <c r="JTL38" s="188"/>
      <c r="JTM38" s="188"/>
      <c r="JTN38" s="188"/>
      <c r="JTO38" s="188"/>
      <c r="JTP38" s="188"/>
      <c r="JTQ38" s="188"/>
      <c r="JTR38" s="188"/>
      <c r="JTS38" s="188"/>
      <c r="JTT38" s="188"/>
      <c r="JTU38" s="188"/>
      <c r="JTV38" s="188"/>
      <c r="JTW38" s="188"/>
      <c r="JTX38" s="188"/>
      <c r="JTY38" s="188"/>
      <c r="JTZ38" s="188"/>
      <c r="JUA38" s="188"/>
      <c r="JUB38" s="188"/>
      <c r="JUC38" s="188"/>
      <c r="JUD38" s="188"/>
      <c r="JUE38" s="188"/>
      <c r="JUF38" s="188"/>
      <c r="JUG38" s="188"/>
      <c r="JUH38" s="188"/>
      <c r="JUI38" s="188"/>
      <c r="JUJ38" s="188"/>
      <c r="JUK38" s="188"/>
      <c r="JUL38" s="188"/>
      <c r="JUM38" s="188"/>
      <c r="JUN38" s="188"/>
      <c r="JUO38" s="188"/>
      <c r="JUP38" s="188"/>
      <c r="JUQ38" s="188"/>
      <c r="JUR38" s="188"/>
      <c r="JUS38" s="188"/>
      <c r="JUT38" s="188"/>
      <c r="JUU38" s="188"/>
      <c r="JUV38" s="188"/>
      <c r="JUW38" s="188"/>
      <c r="JUX38" s="188"/>
      <c r="JUY38" s="188"/>
      <c r="JUZ38" s="188"/>
      <c r="JVA38" s="188"/>
      <c r="JVB38" s="188"/>
      <c r="JVC38" s="188"/>
      <c r="JVD38" s="188"/>
      <c r="JVE38" s="188"/>
      <c r="JVF38" s="188"/>
      <c r="JVG38" s="188"/>
      <c r="JVH38" s="188"/>
      <c r="JVI38" s="188"/>
      <c r="JVJ38" s="188"/>
      <c r="JVK38" s="188"/>
      <c r="JVL38" s="188"/>
      <c r="JVM38" s="188"/>
      <c r="JVN38" s="188"/>
      <c r="JVO38" s="188"/>
      <c r="JVP38" s="188"/>
      <c r="JVQ38" s="188"/>
      <c r="JVR38" s="188"/>
      <c r="JVS38" s="188"/>
      <c r="JVT38" s="188"/>
      <c r="JVU38" s="188"/>
      <c r="JVV38" s="188"/>
      <c r="JVW38" s="188"/>
      <c r="JVX38" s="188"/>
      <c r="JVY38" s="188"/>
      <c r="JVZ38" s="188"/>
      <c r="JWA38" s="188"/>
      <c r="JWB38" s="188"/>
      <c r="JWC38" s="188"/>
      <c r="JWD38" s="188"/>
      <c r="JWE38" s="188"/>
      <c r="JWF38" s="188"/>
      <c r="JWG38" s="188"/>
      <c r="JWH38" s="188"/>
      <c r="JWI38" s="188"/>
      <c r="JWJ38" s="188"/>
      <c r="JWK38" s="188"/>
      <c r="JWL38" s="188"/>
      <c r="JWM38" s="188"/>
      <c r="JWN38" s="188"/>
      <c r="JWO38" s="188"/>
      <c r="JWP38" s="188"/>
      <c r="JWQ38" s="188"/>
      <c r="JWR38" s="188"/>
      <c r="JWS38" s="188"/>
      <c r="JWT38" s="188"/>
      <c r="JWU38" s="188"/>
      <c r="JWV38" s="188"/>
      <c r="JWW38" s="188"/>
      <c r="JWX38" s="188"/>
      <c r="JWY38" s="188"/>
      <c r="JWZ38" s="188"/>
      <c r="JXA38" s="188"/>
      <c r="JXB38" s="188"/>
      <c r="JXC38" s="188"/>
      <c r="JXD38" s="188"/>
      <c r="JXE38" s="188"/>
      <c r="JXF38" s="188"/>
      <c r="JXG38" s="188"/>
      <c r="JXH38" s="188"/>
      <c r="JXI38" s="188"/>
      <c r="JXJ38" s="188"/>
      <c r="JXK38" s="188"/>
      <c r="JXL38" s="188"/>
      <c r="JXM38" s="188"/>
      <c r="JXN38" s="188"/>
      <c r="JXO38" s="188"/>
      <c r="JXP38" s="188"/>
      <c r="JXQ38" s="188"/>
      <c r="JXR38" s="188"/>
      <c r="JXS38" s="188"/>
      <c r="JXT38" s="188"/>
      <c r="JXU38" s="188"/>
      <c r="JXV38" s="188"/>
      <c r="JXW38" s="188"/>
      <c r="JXX38" s="188"/>
      <c r="JXY38" s="188"/>
      <c r="JXZ38" s="188"/>
      <c r="JYA38" s="188"/>
      <c r="JYB38" s="188"/>
      <c r="JYC38" s="188"/>
      <c r="JYD38" s="188"/>
      <c r="JYE38" s="188"/>
      <c r="JYF38" s="188"/>
      <c r="JYG38" s="188"/>
      <c r="JYH38" s="188"/>
      <c r="JYI38" s="188"/>
      <c r="JYJ38" s="188"/>
      <c r="JYK38" s="188"/>
      <c r="JYL38" s="188"/>
      <c r="JYM38" s="188"/>
      <c r="JYN38" s="188"/>
      <c r="JYO38" s="188"/>
      <c r="JYP38" s="188"/>
      <c r="JYQ38" s="188"/>
      <c r="JYR38" s="188"/>
      <c r="JYU38" s="188"/>
      <c r="JYX38" s="188"/>
      <c r="JZA38" s="188"/>
      <c r="JZB38" s="188"/>
      <c r="JZC38" s="188"/>
      <c r="JZD38" s="188"/>
      <c r="JZE38" s="188"/>
      <c r="JZF38" s="188"/>
      <c r="JZG38" s="188"/>
      <c r="JZH38" s="188"/>
      <c r="JZI38" s="188"/>
      <c r="JZK38" s="188"/>
      <c r="JZL38" s="188"/>
      <c r="JZM38" s="188"/>
      <c r="JZN38" s="188"/>
      <c r="JZO38" s="188"/>
      <c r="JZP38" s="188"/>
      <c r="JZQ38" s="188"/>
      <c r="JZR38" s="188"/>
      <c r="JZS38" s="188"/>
      <c r="JZT38" s="188"/>
      <c r="JZU38" s="188"/>
      <c r="JZV38" s="188"/>
      <c r="JZW38" s="188"/>
      <c r="JZX38" s="188"/>
      <c r="JZY38" s="188"/>
      <c r="JZZ38" s="188"/>
      <c r="KAA38" s="188"/>
      <c r="KAB38" s="188"/>
      <c r="KAC38" s="188"/>
      <c r="KAD38" s="188"/>
      <c r="KAE38" s="188"/>
      <c r="KAF38" s="188"/>
      <c r="KAG38" s="188"/>
      <c r="KAH38" s="188"/>
      <c r="KAI38" s="188"/>
      <c r="KAJ38" s="188"/>
      <c r="KAK38" s="188"/>
      <c r="KAL38" s="188"/>
      <c r="KAM38" s="188"/>
      <c r="KAN38" s="188"/>
      <c r="KAO38" s="188"/>
      <c r="KAP38" s="188"/>
      <c r="KAQ38" s="188"/>
      <c r="KAR38" s="188"/>
      <c r="KAS38" s="188"/>
      <c r="KAT38" s="188"/>
      <c r="KAU38" s="188"/>
      <c r="KAV38" s="188"/>
      <c r="KAW38" s="188"/>
      <c r="KAX38" s="188"/>
      <c r="KAY38" s="188"/>
      <c r="KAZ38" s="188"/>
      <c r="KBA38" s="188"/>
      <c r="KBB38" s="188"/>
      <c r="KBC38" s="188"/>
      <c r="KBD38" s="188"/>
      <c r="KBE38" s="188"/>
      <c r="KBF38" s="188"/>
      <c r="KBG38" s="188"/>
      <c r="KBH38" s="188"/>
      <c r="KBI38" s="188"/>
      <c r="KBJ38" s="188"/>
      <c r="KBK38" s="188"/>
      <c r="KBL38" s="188"/>
      <c r="KBM38" s="188"/>
      <c r="KBN38" s="188"/>
      <c r="KBO38" s="188"/>
      <c r="KBP38" s="188"/>
      <c r="KBQ38" s="188"/>
      <c r="KBR38" s="188"/>
      <c r="KBS38" s="188"/>
      <c r="KBT38" s="188"/>
      <c r="KBU38" s="188"/>
      <c r="KBV38" s="188"/>
      <c r="KBW38" s="188"/>
      <c r="KBX38" s="188"/>
      <c r="KBY38" s="188"/>
      <c r="KBZ38" s="188"/>
      <c r="KCA38" s="188"/>
      <c r="KCB38" s="188"/>
      <c r="KCC38" s="188"/>
      <c r="KCD38" s="188"/>
      <c r="KCE38" s="188"/>
      <c r="KCF38" s="188"/>
      <c r="KCG38" s="188"/>
      <c r="KCH38" s="188"/>
      <c r="KCI38" s="188"/>
      <c r="KCJ38" s="188"/>
      <c r="KCK38" s="188"/>
      <c r="KCL38" s="188"/>
      <c r="KCM38" s="188"/>
      <c r="KCN38" s="188"/>
      <c r="KCO38" s="188"/>
      <c r="KCP38" s="188"/>
      <c r="KCQ38" s="188"/>
      <c r="KCR38" s="188"/>
      <c r="KCS38" s="188"/>
      <c r="KCT38" s="188"/>
      <c r="KCU38" s="188"/>
      <c r="KCV38" s="188"/>
      <c r="KCW38" s="188"/>
      <c r="KCX38" s="188"/>
      <c r="KCY38" s="188"/>
      <c r="KCZ38" s="188"/>
      <c r="KDA38" s="188"/>
      <c r="KDB38" s="188"/>
      <c r="KDC38" s="188"/>
      <c r="KDD38" s="188"/>
      <c r="KDE38" s="188"/>
      <c r="KDF38" s="188"/>
      <c r="KDG38" s="188"/>
      <c r="KDH38" s="188"/>
      <c r="KDI38" s="188"/>
      <c r="KDJ38" s="188"/>
      <c r="KDK38" s="188"/>
      <c r="KDL38" s="188"/>
      <c r="KDM38" s="188"/>
      <c r="KDN38" s="188"/>
      <c r="KDO38" s="188"/>
      <c r="KDP38" s="188"/>
      <c r="KDQ38" s="188"/>
      <c r="KDR38" s="188"/>
      <c r="KDS38" s="188"/>
      <c r="KDT38" s="188"/>
      <c r="KDU38" s="188"/>
      <c r="KDV38" s="188"/>
      <c r="KDW38" s="188"/>
      <c r="KDX38" s="188"/>
      <c r="KDY38" s="188"/>
      <c r="KDZ38" s="188"/>
      <c r="KEA38" s="188"/>
      <c r="KEB38" s="188"/>
      <c r="KEC38" s="188"/>
      <c r="KED38" s="188"/>
      <c r="KEE38" s="188"/>
      <c r="KEF38" s="188"/>
      <c r="KEG38" s="188"/>
      <c r="KEH38" s="188"/>
      <c r="KEI38" s="188"/>
      <c r="KEJ38" s="188"/>
      <c r="KEK38" s="188"/>
      <c r="KEL38" s="188"/>
      <c r="KEM38" s="188"/>
      <c r="KEN38" s="188"/>
      <c r="KEO38" s="188"/>
      <c r="KEP38" s="188"/>
      <c r="KEQ38" s="188"/>
      <c r="KER38" s="188"/>
      <c r="KES38" s="188"/>
      <c r="KET38" s="188"/>
      <c r="KEU38" s="188"/>
      <c r="KEV38" s="188"/>
      <c r="KEW38" s="188"/>
      <c r="KEX38" s="188"/>
      <c r="KEY38" s="188"/>
      <c r="KEZ38" s="188"/>
      <c r="KFA38" s="188"/>
      <c r="KFB38" s="188"/>
      <c r="KFC38" s="188"/>
      <c r="KFD38" s="188"/>
      <c r="KFE38" s="188"/>
      <c r="KFF38" s="188"/>
      <c r="KFG38" s="188"/>
      <c r="KFH38" s="188"/>
      <c r="KFI38" s="188"/>
      <c r="KFJ38" s="188"/>
      <c r="KFK38" s="188"/>
      <c r="KFL38" s="188"/>
      <c r="KFM38" s="188"/>
      <c r="KFN38" s="188"/>
      <c r="KFO38" s="188"/>
      <c r="KFP38" s="188"/>
      <c r="KFQ38" s="188"/>
      <c r="KFR38" s="188"/>
      <c r="KFS38" s="188"/>
      <c r="KFT38" s="188"/>
      <c r="KFU38" s="188"/>
      <c r="KFV38" s="188"/>
      <c r="KFW38" s="188"/>
      <c r="KFX38" s="188"/>
      <c r="KFY38" s="188"/>
      <c r="KFZ38" s="188"/>
      <c r="KGA38" s="188"/>
      <c r="KGB38" s="188"/>
      <c r="KGC38" s="188"/>
      <c r="KGD38" s="188"/>
      <c r="KGE38" s="188"/>
      <c r="KGF38" s="188"/>
      <c r="KGG38" s="188"/>
      <c r="KGH38" s="188"/>
      <c r="KGI38" s="188"/>
      <c r="KGJ38" s="188"/>
      <c r="KGK38" s="188"/>
      <c r="KGL38" s="188"/>
      <c r="KGM38" s="188"/>
      <c r="KGN38" s="188"/>
      <c r="KGO38" s="188"/>
      <c r="KGP38" s="188"/>
      <c r="KGQ38" s="188"/>
      <c r="KGR38" s="188"/>
      <c r="KGS38" s="188"/>
      <c r="KGT38" s="188"/>
      <c r="KGU38" s="188"/>
      <c r="KGV38" s="188"/>
      <c r="KGW38" s="188"/>
      <c r="KGX38" s="188"/>
      <c r="KGY38" s="188"/>
      <c r="KGZ38" s="188"/>
      <c r="KHA38" s="188"/>
      <c r="KHB38" s="188"/>
      <c r="KHC38" s="188"/>
      <c r="KHD38" s="188"/>
      <c r="KHE38" s="188"/>
      <c r="KHF38" s="188"/>
      <c r="KHG38" s="188"/>
      <c r="KHH38" s="188"/>
      <c r="KHI38" s="188"/>
      <c r="KHJ38" s="188"/>
      <c r="KHK38" s="188"/>
      <c r="KHL38" s="188"/>
      <c r="KHM38" s="188"/>
      <c r="KHN38" s="188"/>
      <c r="KHO38" s="188"/>
      <c r="KHP38" s="188"/>
      <c r="KHQ38" s="188"/>
      <c r="KHR38" s="188"/>
      <c r="KHS38" s="188"/>
      <c r="KHT38" s="188"/>
      <c r="KHU38" s="188"/>
      <c r="KHV38" s="188"/>
      <c r="KHW38" s="188"/>
      <c r="KHX38" s="188"/>
      <c r="KHY38" s="188"/>
      <c r="KHZ38" s="188"/>
      <c r="KIA38" s="188"/>
      <c r="KIB38" s="188"/>
      <c r="KIC38" s="188"/>
      <c r="KID38" s="188"/>
      <c r="KIE38" s="188"/>
      <c r="KIF38" s="188"/>
      <c r="KIG38" s="188"/>
      <c r="KIH38" s="188"/>
      <c r="KII38" s="188"/>
      <c r="KIJ38" s="188"/>
      <c r="KIK38" s="188"/>
      <c r="KIL38" s="188"/>
      <c r="KIM38" s="188"/>
      <c r="KIN38" s="188"/>
      <c r="KIQ38" s="188"/>
      <c r="KIT38" s="188"/>
      <c r="KIW38" s="188"/>
      <c r="KIX38" s="188"/>
      <c r="KIY38" s="188"/>
      <c r="KIZ38" s="188"/>
      <c r="KJA38" s="188"/>
      <c r="KJB38" s="188"/>
      <c r="KJC38" s="188"/>
      <c r="KJD38" s="188"/>
      <c r="KJE38" s="188"/>
      <c r="KJG38" s="188"/>
      <c r="KJH38" s="188"/>
      <c r="KJI38" s="188"/>
      <c r="KJJ38" s="188"/>
      <c r="KJK38" s="188"/>
      <c r="KJL38" s="188"/>
      <c r="KJM38" s="188"/>
      <c r="KJN38" s="188"/>
      <c r="KJO38" s="188"/>
      <c r="KJP38" s="188"/>
      <c r="KJQ38" s="188"/>
      <c r="KJR38" s="188"/>
      <c r="KJS38" s="188"/>
      <c r="KJT38" s="188"/>
      <c r="KJU38" s="188"/>
      <c r="KJV38" s="188"/>
      <c r="KJW38" s="188"/>
      <c r="KJX38" s="188"/>
      <c r="KJY38" s="188"/>
      <c r="KJZ38" s="188"/>
      <c r="KKA38" s="188"/>
      <c r="KKB38" s="188"/>
      <c r="KKC38" s="188"/>
      <c r="KKD38" s="188"/>
      <c r="KKE38" s="188"/>
      <c r="KKF38" s="188"/>
      <c r="KKG38" s="188"/>
      <c r="KKH38" s="188"/>
      <c r="KKI38" s="188"/>
      <c r="KKJ38" s="188"/>
      <c r="KKK38" s="188"/>
      <c r="KKL38" s="188"/>
      <c r="KKM38" s="188"/>
      <c r="KKN38" s="188"/>
      <c r="KKO38" s="188"/>
      <c r="KKP38" s="188"/>
      <c r="KKQ38" s="188"/>
      <c r="KKR38" s="188"/>
      <c r="KKS38" s="188"/>
      <c r="KKT38" s="188"/>
      <c r="KKU38" s="188"/>
      <c r="KKV38" s="188"/>
      <c r="KKW38" s="188"/>
      <c r="KKX38" s="188"/>
      <c r="KKY38" s="188"/>
      <c r="KKZ38" s="188"/>
      <c r="KLA38" s="188"/>
      <c r="KLB38" s="188"/>
      <c r="KLC38" s="188"/>
      <c r="KLD38" s="188"/>
      <c r="KLE38" s="188"/>
      <c r="KLF38" s="188"/>
      <c r="KLG38" s="188"/>
      <c r="KLH38" s="188"/>
      <c r="KLI38" s="188"/>
      <c r="KLJ38" s="188"/>
      <c r="KLK38" s="188"/>
      <c r="KLL38" s="188"/>
      <c r="KLM38" s="188"/>
      <c r="KLN38" s="188"/>
      <c r="KLO38" s="188"/>
      <c r="KLP38" s="188"/>
      <c r="KLQ38" s="188"/>
      <c r="KLR38" s="188"/>
      <c r="KLS38" s="188"/>
      <c r="KLT38" s="188"/>
      <c r="KLU38" s="188"/>
      <c r="KLV38" s="188"/>
      <c r="KLW38" s="188"/>
      <c r="KLX38" s="188"/>
      <c r="KLY38" s="188"/>
      <c r="KLZ38" s="188"/>
      <c r="KMA38" s="188"/>
      <c r="KMB38" s="188"/>
      <c r="KMC38" s="188"/>
      <c r="KMD38" s="188"/>
      <c r="KME38" s="188"/>
      <c r="KMF38" s="188"/>
      <c r="KMG38" s="188"/>
      <c r="KMH38" s="188"/>
      <c r="KMI38" s="188"/>
      <c r="KMJ38" s="188"/>
      <c r="KMK38" s="188"/>
      <c r="KML38" s="188"/>
      <c r="KMM38" s="188"/>
      <c r="KMN38" s="188"/>
      <c r="KMO38" s="188"/>
      <c r="KMP38" s="188"/>
      <c r="KMQ38" s="188"/>
      <c r="KMR38" s="188"/>
      <c r="KMS38" s="188"/>
      <c r="KMT38" s="188"/>
      <c r="KMU38" s="188"/>
      <c r="KMV38" s="188"/>
      <c r="KMW38" s="188"/>
      <c r="KMX38" s="188"/>
      <c r="KMY38" s="188"/>
      <c r="KMZ38" s="188"/>
      <c r="KNA38" s="188"/>
      <c r="KNB38" s="188"/>
      <c r="KNC38" s="188"/>
      <c r="KND38" s="188"/>
      <c r="KNE38" s="188"/>
      <c r="KNF38" s="188"/>
      <c r="KNG38" s="188"/>
      <c r="KNH38" s="188"/>
      <c r="KNI38" s="188"/>
      <c r="KNJ38" s="188"/>
      <c r="KNK38" s="188"/>
      <c r="KNL38" s="188"/>
      <c r="KNM38" s="188"/>
      <c r="KNN38" s="188"/>
      <c r="KNO38" s="188"/>
      <c r="KNP38" s="188"/>
      <c r="KNQ38" s="188"/>
      <c r="KNR38" s="188"/>
      <c r="KNS38" s="188"/>
      <c r="KNT38" s="188"/>
      <c r="KNU38" s="188"/>
      <c r="KNV38" s="188"/>
      <c r="KNW38" s="188"/>
      <c r="KNX38" s="188"/>
      <c r="KNY38" s="188"/>
      <c r="KNZ38" s="188"/>
      <c r="KOA38" s="188"/>
      <c r="KOB38" s="188"/>
      <c r="KOC38" s="188"/>
      <c r="KOD38" s="188"/>
      <c r="KOE38" s="188"/>
      <c r="KOF38" s="188"/>
      <c r="KOG38" s="188"/>
      <c r="KOH38" s="188"/>
      <c r="KOI38" s="188"/>
      <c r="KOJ38" s="188"/>
      <c r="KOK38" s="188"/>
      <c r="KOL38" s="188"/>
      <c r="KOM38" s="188"/>
      <c r="KON38" s="188"/>
      <c r="KOO38" s="188"/>
      <c r="KOP38" s="188"/>
      <c r="KOQ38" s="188"/>
      <c r="KOR38" s="188"/>
      <c r="KOS38" s="188"/>
      <c r="KOT38" s="188"/>
      <c r="KOU38" s="188"/>
      <c r="KOV38" s="188"/>
      <c r="KOW38" s="188"/>
      <c r="KOX38" s="188"/>
      <c r="KOY38" s="188"/>
      <c r="KOZ38" s="188"/>
      <c r="KPA38" s="188"/>
      <c r="KPB38" s="188"/>
      <c r="KPC38" s="188"/>
      <c r="KPD38" s="188"/>
      <c r="KPE38" s="188"/>
      <c r="KPF38" s="188"/>
      <c r="KPG38" s="188"/>
      <c r="KPH38" s="188"/>
      <c r="KPI38" s="188"/>
      <c r="KPJ38" s="188"/>
      <c r="KPK38" s="188"/>
      <c r="KPL38" s="188"/>
      <c r="KPM38" s="188"/>
      <c r="KPN38" s="188"/>
      <c r="KPO38" s="188"/>
      <c r="KPP38" s="188"/>
      <c r="KPQ38" s="188"/>
      <c r="KPR38" s="188"/>
      <c r="KPS38" s="188"/>
      <c r="KPT38" s="188"/>
      <c r="KPU38" s="188"/>
      <c r="KPV38" s="188"/>
      <c r="KPW38" s="188"/>
      <c r="KPX38" s="188"/>
      <c r="KPY38" s="188"/>
      <c r="KPZ38" s="188"/>
      <c r="KQA38" s="188"/>
      <c r="KQB38" s="188"/>
      <c r="KQC38" s="188"/>
      <c r="KQD38" s="188"/>
      <c r="KQE38" s="188"/>
      <c r="KQF38" s="188"/>
      <c r="KQG38" s="188"/>
      <c r="KQH38" s="188"/>
      <c r="KQI38" s="188"/>
      <c r="KQJ38" s="188"/>
      <c r="KQK38" s="188"/>
      <c r="KQL38" s="188"/>
      <c r="KQM38" s="188"/>
      <c r="KQN38" s="188"/>
      <c r="KQO38" s="188"/>
      <c r="KQP38" s="188"/>
      <c r="KQQ38" s="188"/>
      <c r="KQR38" s="188"/>
      <c r="KQS38" s="188"/>
      <c r="KQT38" s="188"/>
      <c r="KQU38" s="188"/>
      <c r="KQV38" s="188"/>
      <c r="KQW38" s="188"/>
      <c r="KQX38" s="188"/>
      <c r="KQY38" s="188"/>
      <c r="KQZ38" s="188"/>
      <c r="KRA38" s="188"/>
      <c r="KRB38" s="188"/>
      <c r="KRC38" s="188"/>
      <c r="KRD38" s="188"/>
      <c r="KRE38" s="188"/>
      <c r="KRF38" s="188"/>
      <c r="KRG38" s="188"/>
      <c r="KRH38" s="188"/>
      <c r="KRI38" s="188"/>
      <c r="KRJ38" s="188"/>
      <c r="KRK38" s="188"/>
      <c r="KRL38" s="188"/>
      <c r="KRM38" s="188"/>
      <c r="KRN38" s="188"/>
      <c r="KRO38" s="188"/>
      <c r="KRP38" s="188"/>
      <c r="KRQ38" s="188"/>
      <c r="KRR38" s="188"/>
      <c r="KRS38" s="188"/>
      <c r="KRT38" s="188"/>
      <c r="KRU38" s="188"/>
      <c r="KRV38" s="188"/>
      <c r="KRW38" s="188"/>
      <c r="KRX38" s="188"/>
      <c r="KRY38" s="188"/>
      <c r="KRZ38" s="188"/>
      <c r="KSA38" s="188"/>
      <c r="KSB38" s="188"/>
      <c r="KSC38" s="188"/>
      <c r="KSD38" s="188"/>
      <c r="KSE38" s="188"/>
      <c r="KSF38" s="188"/>
      <c r="KSG38" s="188"/>
      <c r="KSH38" s="188"/>
      <c r="KSI38" s="188"/>
      <c r="KSJ38" s="188"/>
      <c r="KSM38" s="188"/>
      <c r="KSP38" s="188"/>
      <c r="KSS38" s="188"/>
      <c r="KST38" s="188"/>
      <c r="KSU38" s="188"/>
      <c r="KSV38" s="188"/>
      <c r="KSW38" s="188"/>
      <c r="KSX38" s="188"/>
      <c r="KSY38" s="188"/>
      <c r="KSZ38" s="188"/>
      <c r="KTA38" s="188"/>
      <c r="KTC38" s="188"/>
      <c r="KTD38" s="188"/>
      <c r="KTE38" s="188"/>
      <c r="KTF38" s="188"/>
      <c r="KTG38" s="188"/>
      <c r="KTH38" s="188"/>
      <c r="KTI38" s="188"/>
      <c r="KTJ38" s="188"/>
      <c r="KTK38" s="188"/>
      <c r="KTL38" s="188"/>
      <c r="KTM38" s="188"/>
      <c r="KTN38" s="188"/>
      <c r="KTO38" s="188"/>
      <c r="KTP38" s="188"/>
      <c r="KTQ38" s="188"/>
      <c r="KTR38" s="188"/>
      <c r="KTS38" s="188"/>
      <c r="KTT38" s="188"/>
      <c r="KTU38" s="188"/>
      <c r="KTV38" s="188"/>
      <c r="KTW38" s="188"/>
      <c r="KTX38" s="188"/>
      <c r="KTY38" s="188"/>
      <c r="KTZ38" s="188"/>
      <c r="KUA38" s="188"/>
      <c r="KUB38" s="188"/>
      <c r="KUC38" s="188"/>
      <c r="KUD38" s="188"/>
      <c r="KUE38" s="188"/>
      <c r="KUF38" s="188"/>
      <c r="KUG38" s="188"/>
      <c r="KUH38" s="188"/>
      <c r="KUI38" s="188"/>
      <c r="KUJ38" s="188"/>
      <c r="KUK38" s="188"/>
      <c r="KUL38" s="188"/>
      <c r="KUM38" s="188"/>
      <c r="KUN38" s="188"/>
      <c r="KUO38" s="188"/>
      <c r="KUP38" s="188"/>
      <c r="KUQ38" s="188"/>
      <c r="KUR38" s="188"/>
      <c r="KUS38" s="188"/>
      <c r="KUT38" s="188"/>
      <c r="KUU38" s="188"/>
      <c r="KUV38" s="188"/>
      <c r="KUW38" s="188"/>
      <c r="KUX38" s="188"/>
      <c r="KUY38" s="188"/>
      <c r="KUZ38" s="188"/>
      <c r="KVA38" s="188"/>
      <c r="KVB38" s="188"/>
      <c r="KVC38" s="188"/>
      <c r="KVD38" s="188"/>
      <c r="KVE38" s="188"/>
      <c r="KVF38" s="188"/>
      <c r="KVG38" s="188"/>
      <c r="KVH38" s="188"/>
      <c r="KVI38" s="188"/>
      <c r="KVJ38" s="188"/>
      <c r="KVK38" s="188"/>
      <c r="KVL38" s="188"/>
      <c r="KVM38" s="188"/>
      <c r="KVN38" s="188"/>
      <c r="KVO38" s="188"/>
      <c r="KVP38" s="188"/>
      <c r="KVQ38" s="188"/>
      <c r="KVR38" s="188"/>
      <c r="KVS38" s="188"/>
      <c r="KVT38" s="188"/>
      <c r="KVU38" s="188"/>
      <c r="KVV38" s="188"/>
      <c r="KVW38" s="188"/>
      <c r="KVX38" s="188"/>
      <c r="KVY38" s="188"/>
      <c r="KVZ38" s="188"/>
      <c r="KWA38" s="188"/>
      <c r="KWB38" s="188"/>
      <c r="KWC38" s="188"/>
      <c r="KWD38" s="188"/>
      <c r="KWE38" s="188"/>
      <c r="KWF38" s="188"/>
      <c r="KWG38" s="188"/>
      <c r="KWH38" s="188"/>
      <c r="KWI38" s="188"/>
      <c r="KWJ38" s="188"/>
      <c r="KWK38" s="188"/>
      <c r="KWL38" s="188"/>
      <c r="KWM38" s="188"/>
      <c r="KWN38" s="188"/>
      <c r="KWO38" s="188"/>
      <c r="KWP38" s="188"/>
      <c r="KWQ38" s="188"/>
      <c r="KWR38" s="188"/>
      <c r="KWS38" s="188"/>
      <c r="KWT38" s="188"/>
      <c r="KWU38" s="188"/>
      <c r="KWV38" s="188"/>
      <c r="KWW38" s="188"/>
      <c r="KWX38" s="188"/>
      <c r="KWY38" s="188"/>
      <c r="KWZ38" s="188"/>
      <c r="KXA38" s="188"/>
      <c r="KXB38" s="188"/>
      <c r="KXC38" s="188"/>
      <c r="KXD38" s="188"/>
      <c r="KXE38" s="188"/>
      <c r="KXF38" s="188"/>
      <c r="KXG38" s="188"/>
      <c r="KXH38" s="188"/>
      <c r="KXI38" s="188"/>
      <c r="KXJ38" s="188"/>
      <c r="KXK38" s="188"/>
      <c r="KXL38" s="188"/>
      <c r="KXM38" s="188"/>
      <c r="KXN38" s="188"/>
      <c r="KXO38" s="188"/>
      <c r="KXP38" s="188"/>
      <c r="KXQ38" s="188"/>
      <c r="KXR38" s="188"/>
      <c r="KXS38" s="188"/>
      <c r="KXT38" s="188"/>
      <c r="KXU38" s="188"/>
      <c r="KXV38" s="188"/>
      <c r="KXW38" s="188"/>
      <c r="KXX38" s="188"/>
      <c r="KXY38" s="188"/>
      <c r="KXZ38" s="188"/>
      <c r="KYA38" s="188"/>
      <c r="KYB38" s="188"/>
      <c r="KYC38" s="188"/>
      <c r="KYD38" s="188"/>
      <c r="KYE38" s="188"/>
      <c r="KYF38" s="188"/>
      <c r="KYG38" s="188"/>
      <c r="KYH38" s="188"/>
      <c r="KYI38" s="188"/>
      <c r="KYJ38" s="188"/>
      <c r="KYK38" s="188"/>
      <c r="KYL38" s="188"/>
      <c r="KYM38" s="188"/>
      <c r="KYN38" s="188"/>
      <c r="KYO38" s="188"/>
      <c r="KYP38" s="188"/>
      <c r="KYQ38" s="188"/>
      <c r="KYR38" s="188"/>
      <c r="KYS38" s="188"/>
      <c r="KYT38" s="188"/>
      <c r="KYU38" s="188"/>
      <c r="KYV38" s="188"/>
      <c r="KYW38" s="188"/>
      <c r="KYX38" s="188"/>
      <c r="KYY38" s="188"/>
      <c r="KYZ38" s="188"/>
      <c r="KZA38" s="188"/>
      <c r="KZB38" s="188"/>
      <c r="KZC38" s="188"/>
      <c r="KZD38" s="188"/>
      <c r="KZE38" s="188"/>
      <c r="KZF38" s="188"/>
      <c r="KZG38" s="188"/>
      <c r="KZH38" s="188"/>
      <c r="KZI38" s="188"/>
      <c r="KZJ38" s="188"/>
      <c r="KZK38" s="188"/>
      <c r="KZL38" s="188"/>
      <c r="KZM38" s="188"/>
      <c r="KZN38" s="188"/>
      <c r="KZO38" s="188"/>
      <c r="KZP38" s="188"/>
      <c r="KZQ38" s="188"/>
      <c r="KZR38" s="188"/>
      <c r="KZS38" s="188"/>
      <c r="KZT38" s="188"/>
      <c r="KZU38" s="188"/>
      <c r="KZV38" s="188"/>
      <c r="KZW38" s="188"/>
      <c r="KZX38" s="188"/>
      <c r="KZY38" s="188"/>
      <c r="KZZ38" s="188"/>
      <c r="LAA38" s="188"/>
      <c r="LAB38" s="188"/>
      <c r="LAC38" s="188"/>
      <c r="LAD38" s="188"/>
      <c r="LAE38" s="188"/>
      <c r="LAF38" s="188"/>
      <c r="LAG38" s="188"/>
      <c r="LAH38" s="188"/>
      <c r="LAI38" s="188"/>
      <c r="LAJ38" s="188"/>
      <c r="LAK38" s="188"/>
      <c r="LAL38" s="188"/>
      <c r="LAM38" s="188"/>
      <c r="LAN38" s="188"/>
      <c r="LAO38" s="188"/>
      <c r="LAP38" s="188"/>
      <c r="LAQ38" s="188"/>
      <c r="LAR38" s="188"/>
      <c r="LAS38" s="188"/>
      <c r="LAT38" s="188"/>
      <c r="LAU38" s="188"/>
      <c r="LAV38" s="188"/>
      <c r="LAW38" s="188"/>
      <c r="LAX38" s="188"/>
      <c r="LAY38" s="188"/>
      <c r="LAZ38" s="188"/>
      <c r="LBA38" s="188"/>
      <c r="LBB38" s="188"/>
      <c r="LBC38" s="188"/>
      <c r="LBD38" s="188"/>
      <c r="LBE38" s="188"/>
      <c r="LBF38" s="188"/>
      <c r="LBG38" s="188"/>
      <c r="LBH38" s="188"/>
      <c r="LBI38" s="188"/>
      <c r="LBJ38" s="188"/>
      <c r="LBK38" s="188"/>
      <c r="LBL38" s="188"/>
      <c r="LBM38" s="188"/>
      <c r="LBN38" s="188"/>
      <c r="LBO38" s="188"/>
      <c r="LBP38" s="188"/>
      <c r="LBQ38" s="188"/>
      <c r="LBR38" s="188"/>
      <c r="LBS38" s="188"/>
      <c r="LBT38" s="188"/>
      <c r="LBU38" s="188"/>
      <c r="LBV38" s="188"/>
      <c r="LBW38" s="188"/>
      <c r="LBX38" s="188"/>
      <c r="LBY38" s="188"/>
      <c r="LBZ38" s="188"/>
      <c r="LCA38" s="188"/>
      <c r="LCB38" s="188"/>
      <c r="LCC38" s="188"/>
      <c r="LCD38" s="188"/>
      <c r="LCE38" s="188"/>
      <c r="LCF38" s="188"/>
      <c r="LCI38" s="188"/>
      <c r="LCL38" s="188"/>
      <c r="LCO38" s="188"/>
      <c r="LCP38" s="188"/>
      <c r="LCQ38" s="188"/>
      <c r="LCR38" s="188"/>
      <c r="LCS38" s="188"/>
      <c r="LCT38" s="188"/>
      <c r="LCU38" s="188"/>
      <c r="LCV38" s="188"/>
      <c r="LCW38" s="188"/>
      <c r="LCY38" s="188"/>
      <c r="LCZ38" s="188"/>
      <c r="LDA38" s="188"/>
      <c r="LDB38" s="188"/>
      <c r="LDC38" s="188"/>
      <c r="LDD38" s="188"/>
      <c r="LDE38" s="188"/>
      <c r="LDF38" s="188"/>
      <c r="LDG38" s="188"/>
      <c r="LDH38" s="188"/>
      <c r="LDI38" s="188"/>
      <c r="LDJ38" s="188"/>
      <c r="LDK38" s="188"/>
      <c r="LDL38" s="188"/>
      <c r="LDM38" s="188"/>
      <c r="LDN38" s="188"/>
      <c r="LDO38" s="188"/>
      <c r="LDP38" s="188"/>
      <c r="LDQ38" s="188"/>
      <c r="LDR38" s="188"/>
      <c r="LDS38" s="188"/>
      <c r="LDT38" s="188"/>
      <c r="LDU38" s="188"/>
      <c r="LDV38" s="188"/>
      <c r="LDW38" s="188"/>
      <c r="LDX38" s="188"/>
      <c r="LDY38" s="188"/>
      <c r="LDZ38" s="188"/>
      <c r="LEA38" s="188"/>
      <c r="LEB38" s="188"/>
      <c r="LEC38" s="188"/>
      <c r="LED38" s="188"/>
      <c r="LEE38" s="188"/>
      <c r="LEF38" s="188"/>
      <c r="LEG38" s="188"/>
      <c r="LEH38" s="188"/>
      <c r="LEI38" s="188"/>
      <c r="LEJ38" s="188"/>
      <c r="LEK38" s="188"/>
      <c r="LEL38" s="188"/>
      <c r="LEM38" s="188"/>
      <c r="LEN38" s="188"/>
      <c r="LEO38" s="188"/>
      <c r="LEP38" s="188"/>
      <c r="LEQ38" s="188"/>
      <c r="LER38" s="188"/>
      <c r="LES38" s="188"/>
      <c r="LET38" s="188"/>
      <c r="LEU38" s="188"/>
      <c r="LEV38" s="188"/>
      <c r="LEW38" s="188"/>
      <c r="LEX38" s="188"/>
      <c r="LEY38" s="188"/>
      <c r="LEZ38" s="188"/>
      <c r="LFA38" s="188"/>
      <c r="LFB38" s="188"/>
      <c r="LFC38" s="188"/>
      <c r="LFD38" s="188"/>
      <c r="LFE38" s="188"/>
      <c r="LFF38" s="188"/>
      <c r="LFG38" s="188"/>
      <c r="LFH38" s="188"/>
      <c r="LFI38" s="188"/>
      <c r="LFJ38" s="188"/>
      <c r="LFK38" s="188"/>
      <c r="LFL38" s="188"/>
      <c r="LFM38" s="188"/>
      <c r="LFN38" s="188"/>
      <c r="LFO38" s="188"/>
      <c r="LFP38" s="188"/>
      <c r="LFQ38" s="188"/>
      <c r="LFR38" s="188"/>
      <c r="LFS38" s="188"/>
      <c r="LFT38" s="188"/>
      <c r="LFU38" s="188"/>
      <c r="LFV38" s="188"/>
      <c r="LFW38" s="188"/>
      <c r="LFX38" s="188"/>
      <c r="LFY38" s="188"/>
      <c r="LFZ38" s="188"/>
      <c r="LGA38" s="188"/>
      <c r="LGB38" s="188"/>
      <c r="LGC38" s="188"/>
      <c r="LGD38" s="188"/>
      <c r="LGE38" s="188"/>
      <c r="LGF38" s="188"/>
      <c r="LGG38" s="188"/>
      <c r="LGH38" s="188"/>
      <c r="LGI38" s="188"/>
      <c r="LGJ38" s="188"/>
      <c r="LGK38" s="188"/>
      <c r="LGL38" s="188"/>
      <c r="LGM38" s="188"/>
      <c r="LGN38" s="188"/>
      <c r="LGO38" s="188"/>
      <c r="LGP38" s="188"/>
      <c r="LGQ38" s="188"/>
      <c r="LGR38" s="188"/>
      <c r="LGS38" s="188"/>
      <c r="LGT38" s="188"/>
      <c r="LGU38" s="188"/>
      <c r="LGV38" s="188"/>
      <c r="LGW38" s="188"/>
      <c r="LGX38" s="188"/>
      <c r="LGY38" s="188"/>
      <c r="LGZ38" s="188"/>
      <c r="LHA38" s="188"/>
      <c r="LHB38" s="188"/>
      <c r="LHC38" s="188"/>
      <c r="LHD38" s="188"/>
      <c r="LHE38" s="188"/>
      <c r="LHF38" s="188"/>
      <c r="LHG38" s="188"/>
      <c r="LHH38" s="188"/>
      <c r="LHI38" s="188"/>
      <c r="LHJ38" s="188"/>
      <c r="LHK38" s="188"/>
      <c r="LHL38" s="188"/>
      <c r="LHM38" s="188"/>
      <c r="LHN38" s="188"/>
      <c r="LHO38" s="188"/>
      <c r="LHP38" s="188"/>
      <c r="LHQ38" s="188"/>
      <c r="LHR38" s="188"/>
      <c r="LHS38" s="188"/>
      <c r="LHT38" s="188"/>
      <c r="LHU38" s="188"/>
      <c r="LHV38" s="188"/>
      <c r="LHW38" s="188"/>
      <c r="LHX38" s="188"/>
      <c r="LHY38" s="188"/>
      <c r="LHZ38" s="188"/>
      <c r="LIA38" s="188"/>
      <c r="LIB38" s="188"/>
      <c r="LIC38" s="188"/>
      <c r="LID38" s="188"/>
      <c r="LIE38" s="188"/>
      <c r="LIF38" s="188"/>
      <c r="LIG38" s="188"/>
      <c r="LIH38" s="188"/>
      <c r="LII38" s="188"/>
      <c r="LIJ38" s="188"/>
      <c r="LIK38" s="188"/>
      <c r="LIL38" s="188"/>
      <c r="LIM38" s="188"/>
      <c r="LIN38" s="188"/>
      <c r="LIO38" s="188"/>
      <c r="LIP38" s="188"/>
      <c r="LIQ38" s="188"/>
      <c r="LIR38" s="188"/>
      <c r="LIS38" s="188"/>
      <c r="LIT38" s="188"/>
      <c r="LIU38" s="188"/>
      <c r="LIV38" s="188"/>
      <c r="LIW38" s="188"/>
      <c r="LIX38" s="188"/>
      <c r="LIY38" s="188"/>
      <c r="LIZ38" s="188"/>
      <c r="LJA38" s="188"/>
      <c r="LJB38" s="188"/>
      <c r="LJC38" s="188"/>
      <c r="LJD38" s="188"/>
      <c r="LJE38" s="188"/>
      <c r="LJF38" s="188"/>
      <c r="LJG38" s="188"/>
      <c r="LJH38" s="188"/>
      <c r="LJI38" s="188"/>
      <c r="LJJ38" s="188"/>
      <c r="LJK38" s="188"/>
      <c r="LJL38" s="188"/>
      <c r="LJM38" s="188"/>
      <c r="LJN38" s="188"/>
      <c r="LJO38" s="188"/>
      <c r="LJP38" s="188"/>
      <c r="LJQ38" s="188"/>
      <c r="LJR38" s="188"/>
      <c r="LJS38" s="188"/>
      <c r="LJT38" s="188"/>
      <c r="LJU38" s="188"/>
      <c r="LJV38" s="188"/>
      <c r="LJW38" s="188"/>
      <c r="LJX38" s="188"/>
      <c r="LJY38" s="188"/>
      <c r="LJZ38" s="188"/>
      <c r="LKA38" s="188"/>
      <c r="LKB38" s="188"/>
      <c r="LKC38" s="188"/>
      <c r="LKD38" s="188"/>
      <c r="LKE38" s="188"/>
      <c r="LKF38" s="188"/>
      <c r="LKG38" s="188"/>
      <c r="LKH38" s="188"/>
      <c r="LKI38" s="188"/>
      <c r="LKJ38" s="188"/>
      <c r="LKK38" s="188"/>
      <c r="LKL38" s="188"/>
      <c r="LKM38" s="188"/>
      <c r="LKN38" s="188"/>
      <c r="LKO38" s="188"/>
      <c r="LKP38" s="188"/>
      <c r="LKQ38" s="188"/>
      <c r="LKR38" s="188"/>
      <c r="LKS38" s="188"/>
      <c r="LKT38" s="188"/>
      <c r="LKU38" s="188"/>
      <c r="LKV38" s="188"/>
      <c r="LKW38" s="188"/>
      <c r="LKX38" s="188"/>
      <c r="LKY38" s="188"/>
      <c r="LKZ38" s="188"/>
      <c r="LLA38" s="188"/>
      <c r="LLB38" s="188"/>
      <c r="LLC38" s="188"/>
      <c r="LLD38" s="188"/>
      <c r="LLE38" s="188"/>
      <c r="LLF38" s="188"/>
      <c r="LLG38" s="188"/>
      <c r="LLH38" s="188"/>
      <c r="LLI38" s="188"/>
      <c r="LLJ38" s="188"/>
      <c r="LLK38" s="188"/>
      <c r="LLL38" s="188"/>
      <c r="LLM38" s="188"/>
      <c r="LLN38" s="188"/>
      <c r="LLO38" s="188"/>
      <c r="LLP38" s="188"/>
      <c r="LLQ38" s="188"/>
      <c r="LLR38" s="188"/>
      <c r="LLS38" s="188"/>
      <c r="LLT38" s="188"/>
      <c r="LLU38" s="188"/>
      <c r="LLV38" s="188"/>
      <c r="LLW38" s="188"/>
      <c r="LLX38" s="188"/>
      <c r="LLY38" s="188"/>
      <c r="LLZ38" s="188"/>
      <c r="LMA38" s="188"/>
      <c r="LMB38" s="188"/>
      <c r="LME38" s="188"/>
      <c r="LMH38" s="188"/>
      <c r="LMK38" s="188"/>
      <c r="LML38" s="188"/>
      <c r="LMM38" s="188"/>
      <c r="LMN38" s="188"/>
      <c r="LMO38" s="188"/>
      <c r="LMP38" s="188"/>
      <c r="LMQ38" s="188"/>
      <c r="LMR38" s="188"/>
      <c r="LMS38" s="188"/>
      <c r="LMU38" s="188"/>
      <c r="LMV38" s="188"/>
      <c r="LMW38" s="188"/>
      <c r="LMX38" s="188"/>
      <c r="LMY38" s="188"/>
      <c r="LMZ38" s="188"/>
      <c r="LNA38" s="188"/>
      <c r="LNB38" s="188"/>
      <c r="LNC38" s="188"/>
      <c r="LND38" s="188"/>
      <c r="LNE38" s="188"/>
      <c r="LNF38" s="188"/>
      <c r="LNG38" s="188"/>
      <c r="LNH38" s="188"/>
      <c r="LNI38" s="188"/>
      <c r="LNJ38" s="188"/>
      <c r="LNK38" s="188"/>
      <c r="LNL38" s="188"/>
      <c r="LNM38" s="188"/>
      <c r="LNN38" s="188"/>
      <c r="LNO38" s="188"/>
      <c r="LNP38" s="188"/>
      <c r="LNQ38" s="188"/>
      <c r="LNR38" s="188"/>
      <c r="LNS38" s="188"/>
      <c r="LNT38" s="188"/>
      <c r="LNU38" s="188"/>
      <c r="LNV38" s="188"/>
      <c r="LNW38" s="188"/>
      <c r="LNX38" s="188"/>
      <c r="LNY38" s="188"/>
      <c r="LNZ38" s="188"/>
      <c r="LOA38" s="188"/>
      <c r="LOB38" s="188"/>
      <c r="LOC38" s="188"/>
      <c r="LOD38" s="188"/>
      <c r="LOE38" s="188"/>
      <c r="LOF38" s="188"/>
      <c r="LOG38" s="188"/>
      <c r="LOH38" s="188"/>
      <c r="LOI38" s="188"/>
      <c r="LOJ38" s="188"/>
      <c r="LOK38" s="188"/>
      <c r="LOL38" s="188"/>
      <c r="LOM38" s="188"/>
      <c r="LON38" s="188"/>
      <c r="LOO38" s="188"/>
      <c r="LOP38" s="188"/>
      <c r="LOQ38" s="188"/>
      <c r="LOR38" s="188"/>
      <c r="LOS38" s="188"/>
      <c r="LOT38" s="188"/>
      <c r="LOU38" s="188"/>
      <c r="LOV38" s="188"/>
      <c r="LOW38" s="188"/>
      <c r="LOX38" s="188"/>
      <c r="LOY38" s="188"/>
      <c r="LOZ38" s="188"/>
      <c r="LPA38" s="188"/>
      <c r="LPB38" s="188"/>
      <c r="LPC38" s="188"/>
      <c r="LPD38" s="188"/>
      <c r="LPE38" s="188"/>
      <c r="LPF38" s="188"/>
      <c r="LPG38" s="188"/>
      <c r="LPH38" s="188"/>
      <c r="LPI38" s="188"/>
      <c r="LPJ38" s="188"/>
      <c r="LPK38" s="188"/>
      <c r="LPL38" s="188"/>
      <c r="LPM38" s="188"/>
      <c r="LPN38" s="188"/>
      <c r="LPO38" s="188"/>
      <c r="LPP38" s="188"/>
      <c r="LPQ38" s="188"/>
      <c r="LPR38" s="188"/>
      <c r="LPS38" s="188"/>
      <c r="LPT38" s="188"/>
      <c r="LPU38" s="188"/>
      <c r="LPV38" s="188"/>
      <c r="LPW38" s="188"/>
      <c r="LPX38" s="188"/>
      <c r="LPY38" s="188"/>
      <c r="LPZ38" s="188"/>
      <c r="LQA38" s="188"/>
      <c r="LQB38" s="188"/>
      <c r="LQC38" s="188"/>
      <c r="LQD38" s="188"/>
      <c r="LQE38" s="188"/>
      <c r="LQF38" s="188"/>
      <c r="LQG38" s="188"/>
      <c r="LQH38" s="188"/>
      <c r="LQI38" s="188"/>
      <c r="LQJ38" s="188"/>
      <c r="LQK38" s="188"/>
      <c r="LQL38" s="188"/>
      <c r="LQM38" s="188"/>
      <c r="LQN38" s="188"/>
      <c r="LQO38" s="188"/>
      <c r="LQP38" s="188"/>
      <c r="LQQ38" s="188"/>
      <c r="LQR38" s="188"/>
      <c r="LQS38" s="188"/>
      <c r="LQT38" s="188"/>
      <c r="LQU38" s="188"/>
      <c r="LQV38" s="188"/>
      <c r="LQW38" s="188"/>
      <c r="LQX38" s="188"/>
      <c r="LQY38" s="188"/>
      <c r="LQZ38" s="188"/>
      <c r="LRA38" s="188"/>
      <c r="LRB38" s="188"/>
      <c r="LRC38" s="188"/>
      <c r="LRD38" s="188"/>
      <c r="LRE38" s="188"/>
      <c r="LRF38" s="188"/>
      <c r="LRG38" s="188"/>
      <c r="LRH38" s="188"/>
      <c r="LRI38" s="188"/>
      <c r="LRJ38" s="188"/>
      <c r="LRK38" s="188"/>
      <c r="LRL38" s="188"/>
      <c r="LRM38" s="188"/>
      <c r="LRN38" s="188"/>
      <c r="LRO38" s="188"/>
      <c r="LRP38" s="188"/>
      <c r="LRQ38" s="188"/>
      <c r="LRR38" s="188"/>
      <c r="LRS38" s="188"/>
      <c r="LRT38" s="188"/>
      <c r="LRU38" s="188"/>
      <c r="LRV38" s="188"/>
      <c r="LRW38" s="188"/>
      <c r="LRX38" s="188"/>
      <c r="LRY38" s="188"/>
      <c r="LRZ38" s="188"/>
      <c r="LSA38" s="188"/>
      <c r="LSB38" s="188"/>
      <c r="LSC38" s="188"/>
      <c r="LSD38" s="188"/>
      <c r="LSE38" s="188"/>
      <c r="LSF38" s="188"/>
      <c r="LSG38" s="188"/>
      <c r="LSH38" s="188"/>
      <c r="LSI38" s="188"/>
      <c r="LSJ38" s="188"/>
      <c r="LSK38" s="188"/>
      <c r="LSL38" s="188"/>
      <c r="LSM38" s="188"/>
      <c r="LSN38" s="188"/>
      <c r="LSO38" s="188"/>
      <c r="LSP38" s="188"/>
      <c r="LSQ38" s="188"/>
      <c r="LSR38" s="188"/>
      <c r="LSS38" s="188"/>
      <c r="LST38" s="188"/>
      <c r="LSU38" s="188"/>
      <c r="LSV38" s="188"/>
      <c r="LSW38" s="188"/>
      <c r="LSX38" s="188"/>
      <c r="LSY38" s="188"/>
      <c r="LSZ38" s="188"/>
      <c r="LTA38" s="188"/>
      <c r="LTB38" s="188"/>
      <c r="LTC38" s="188"/>
      <c r="LTD38" s="188"/>
      <c r="LTE38" s="188"/>
      <c r="LTF38" s="188"/>
      <c r="LTG38" s="188"/>
      <c r="LTH38" s="188"/>
      <c r="LTI38" s="188"/>
      <c r="LTJ38" s="188"/>
      <c r="LTK38" s="188"/>
      <c r="LTL38" s="188"/>
      <c r="LTM38" s="188"/>
      <c r="LTN38" s="188"/>
      <c r="LTO38" s="188"/>
      <c r="LTP38" s="188"/>
      <c r="LTQ38" s="188"/>
      <c r="LTR38" s="188"/>
      <c r="LTS38" s="188"/>
      <c r="LTT38" s="188"/>
      <c r="LTU38" s="188"/>
      <c r="LTV38" s="188"/>
      <c r="LTW38" s="188"/>
      <c r="LTX38" s="188"/>
      <c r="LTY38" s="188"/>
      <c r="LTZ38" s="188"/>
      <c r="LUA38" s="188"/>
      <c r="LUB38" s="188"/>
      <c r="LUC38" s="188"/>
      <c r="LUD38" s="188"/>
      <c r="LUE38" s="188"/>
      <c r="LUF38" s="188"/>
      <c r="LUG38" s="188"/>
      <c r="LUH38" s="188"/>
      <c r="LUI38" s="188"/>
      <c r="LUJ38" s="188"/>
      <c r="LUK38" s="188"/>
      <c r="LUL38" s="188"/>
      <c r="LUM38" s="188"/>
      <c r="LUN38" s="188"/>
      <c r="LUO38" s="188"/>
      <c r="LUP38" s="188"/>
      <c r="LUQ38" s="188"/>
      <c r="LUR38" s="188"/>
      <c r="LUS38" s="188"/>
      <c r="LUT38" s="188"/>
      <c r="LUU38" s="188"/>
      <c r="LUV38" s="188"/>
      <c r="LUW38" s="188"/>
      <c r="LUX38" s="188"/>
      <c r="LUY38" s="188"/>
      <c r="LUZ38" s="188"/>
      <c r="LVA38" s="188"/>
      <c r="LVB38" s="188"/>
      <c r="LVC38" s="188"/>
      <c r="LVD38" s="188"/>
      <c r="LVE38" s="188"/>
      <c r="LVF38" s="188"/>
      <c r="LVG38" s="188"/>
      <c r="LVH38" s="188"/>
      <c r="LVI38" s="188"/>
      <c r="LVJ38" s="188"/>
      <c r="LVK38" s="188"/>
      <c r="LVL38" s="188"/>
      <c r="LVM38" s="188"/>
      <c r="LVN38" s="188"/>
      <c r="LVO38" s="188"/>
      <c r="LVP38" s="188"/>
      <c r="LVQ38" s="188"/>
      <c r="LVR38" s="188"/>
      <c r="LVS38" s="188"/>
      <c r="LVT38" s="188"/>
      <c r="LVU38" s="188"/>
      <c r="LVV38" s="188"/>
      <c r="LVW38" s="188"/>
      <c r="LVX38" s="188"/>
      <c r="LWA38" s="188"/>
      <c r="LWD38" s="188"/>
      <c r="LWG38" s="188"/>
      <c r="LWH38" s="188"/>
      <c r="LWI38" s="188"/>
      <c r="LWJ38" s="188"/>
      <c r="LWK38" s="188"/>
      <c r="LWL38" s="188"/>
      <c r="LWM38" s="188"/>
      <c r="LWN38" s="188"/>
      <c r="LWO38" s="188"/>
      <c r="LWQ38" s="188"/>
      <c r="LWR38" s="188"/>
      <c r="LWS38" s="188"/>
      <c r="LWT38" s="188"/>
      <c r="LWU38" s="188"/>
      <c r="LWV38" s="188"/>
      <c r="LWW38" s="188"/>
      <c r="LWX38" s="188"/>
      <c r="LWY38" s="188"/>
      <c r="LWZ38" s="188"/>
      <c r="LXA38" s="188"/>
      <c r="LXB38" s="188"/>
      <c r="LXC38" s="188"/>
      <c r="LXD38" s="188"/>
      <c r="LXE38" s="188"/>
      <c r="LXF38" s="188"/>
      <c r="LXG38" s="188"/>
      <c r="LXH38" s="188"/>
      <c r="LXI38" s="188"/>
      <c r="LXJ38" s="188"/>
      <c r="LXK38" s="188"/>
      <c r="LXL38" s="188"/>
      <c r="LXM38" s="188"/>
      <c r="LXN38" s="188"/>
      <c r="LXO38" s="188"/>
      <c r="LXP38" s="188"/>
      <c r="LXQ38" s="188"/>
      <c r="LXR38" s="188"/>
      <c r="LXS38" s="188"/>
      <c r="LXT38" s="188"/>
      <c r="LXU38" s="188"/>
      <c r="LXV38" s="188"/>
      <c r="LXW38" s="188"/>
      <c r="LXX38" s="188"/>
      <c r="LXY38" s="188"/>
      <c r="LXZ38" s="188"/>
      <c r="LYA38" s="188"/>
      <c r="LYB38" s="188"/>
      <c r="LYC38" s="188"/>
      <c r="LYD38" s="188"/>
      <c r="LYE38" s="188"/>
      <c r="LYF38" s="188"/>
      <c r="LYG38" s="188"/>
      <c r="LYH38" s="188"/>
      <c r="LYI38" s="188"/>
      <c r="LYJ38" s="188"/>
      <c r="LYK38" s="188"/>
      <c r="LYL38" s="188"/>
      <c r="LYM38" s="188"/>
      <c r="LYN38" s="188"/>
      <c r="LYO38" s="188"/>
      <c r="LYP38" s="188"/>
      <c r="LYQ38" s="188"/>
      <c r="LYR38" s="188"/>
      <c r="LYS38" s="188"/>
      <c r="LYT38" s="188"/>
      <c r="LYU38" s="188"/>
      <c r="LYV38" s="188"/>
      <c r="LYW38" s="188"/>
      <c r="LYX38" s="188"/>
      <c r="LYY38" s="188"/>
      <c r="LYZ38" s="188"/>
      <c r="LZA38" s="188"/>
      <c r="LZB38" s="188"/>
      <c r="LZC38" s="188"/>
      <c r="LZD38" s="188"/>
      <c r="LZE38" s="188"/>
      <c r="LZF38" s="188"/>
      <c r="LZG38" s="188"/>
      <c r="LZH38" s="188"/>
      <c r="LZI38" s="188"/>
      <c r="LZJ38" s="188"/>
      <c r="LZK38" s="188"/>
      <c r="LZL38" s="188"/>
      <c r="LZM38" s="188"/>
      <c r="LZN38" s="188"/>
      <c r="LZO38" s="188"/>
      <c r="LZP38" s="188"/>
      <c r="LZQ38" s="188"/>
      <c r="LZR38" s="188"/>
      <c r="LZS38" s="188"/>
      <c r="LZT38" s="188"/>
      <c r="LZU38" s="188"/>
      <c r="LZV38" s="188"/>
      <c r="LZW38" s="188"/>
      <c r="LZX38" s="188"/>
      <c r="LZY38" s="188"/>
      <c r="LZZ38" s="188"/>
      <c r="MAA38" s="188"/>
      <c r="MAB38" s="188"/>
      <c r="MAC38" s="188"/>
      <c r="MAD38" s="188"/>
      <c r="MAE38" s="188"/>
      <c r="MAF38" s="188"/>
      <c r="MAG38" s="188"/>
      <c r="MAH38" s="188"/>
      <c r="MAI38" s="188"/>
      <c r="MAJ38" s="188"/>
      <c r="MAK38" s="188"/>
      <c r="MAL38" s="188"/>
      <c r="MAM38" s="188"/>
      <c r="MAN38" s="188"/>
      <c r="MAO38" s="188"/>
      <c r="MAP38" s="188"/>
      <c r="MAQ38" s="188"/>
      <c r="MAR38" s="188"/>
      <c r="MAS38" s="188"/>
      <c r="MAT38" s="188"/>
      <c r="MAU38" s="188"/>
      <c r="MAV38" s="188"/>
      <c r="MAW38" s="188"/>
      <c r="MAX38" s="188"/>
      <c r="MAY38" s="188"/>
      <c r="MAZ38" s="188"/>
      <c r="MBA38" s="188"/>
      <c r="MBB38" s="188"/>
      <c r="MBC38" s="188"/>
      <c r="MBD38" s="188"/>
      <c r="MBE38" s="188"/>
      <c r="MBF38" s="188"/>
      <c r="MBG38" s="188"/>
      <c r="MBH38" s="188"/>
      <c r="MBI38" s="188"/>
      <c r="MBJ38" s="188"/>
      <c r="MBK38" s="188"/>
      <c r="MBL38" s="188"/>
      <c r="MBM38" s="188"/>
      <c r="MBN38" s="188"/>
      <c r="MBO38" s="188"/>
      <c r="MBP38" s="188"/>
      <c r="MBQ38" s="188"/>
      <c r="MBR38" s="188"/>
      <c r="MBS38" s="188"/>
      <c r="MBT38" s="188"/>
      <c r="MBU38" s="188"/>
      <c r="MBV38" s="188"/>
      <c r="MBW38" s="188"/>
      <c r="MBX38" s="188"/>
      <c r="MBY38" s="188"/>
      <c r="MBZ38" s="188"/>
      <c r="MCA38" s="188"/>
      <c r="MCB38" s="188"/>
      <c r="MCC38" s="188"/>
      <c r="MCD38" s="188"/>
      <c r="MCE38" s="188"/>
      <c r="MCF38" s="188"/>
      <c r="MCG38" s="188"/>
      <c r="MCH38" s="188"/>
      <c r="MCI38" s="188"/>
      <c r="MCJ38" s="188"/>
      <c r="MCK38" s="188"/>
      <c r="MCL38" s="188"/>
      <c r="MCM38" s="188"/>
      <c r="MCN38" s="188"/>
      <c r="MCO38" s="188"/>
      <c r="MCP38" s="188"/>
      <c r="MCQ38" s="188"/>
      <c r="MCR38" s="188"/>
      <c r="MCS38" s="188"/>
      <c r="MCT38" s="188"/>
      <c r="MCU38" s="188"/>
      <c r="MCV38" s="188"/>
      <c r="MCW38" s="188"/>
      <c r="MCX38" s="188"/>
      <c r="MCY38" s="188"/>
      <c r="MCZ38" s="188"/>
      <c r="MDA38" s="188"/>
      <c r="MDB38" s="188"/>
      <c r="MDC38" s="188"/>
      <c r="MDD38" s="188"/>
      <c r="MDE38" s="188"/>
      <c r="MDF38" s="188"/>
      <c r="MDG38" s="188"/>
      <c r="MDH38" s="188"/>
      <c r="MDI38" s="188"/>
      <c r="MDJ38" s="188"/>
      <c r="MDK38" s="188"/>
      <c r="MDL38" s="188"/>
      <c r="MDM38" s="188"/>
      <c r="MDN38" s="188"/>
      <c r="MDO38" s="188"/>
      <c r="MDP38" s="188"/>
      <c r="MDQ38" s="188"/>
      <c r="MDR38" s="188"/>
      <c r="MDS38" s="188"/>
      <c r="MDT38" s="188"/>
      <c r="MDU38" s="188"/>
      <c r="MDV38" s="188"/>
      <c r="MDW38" s="188"/>
      <c r="MDX38" s="188"/>
      <c r="MDY38" s="188"/>
      <c r="MDZ38" s="188"/>
      <c r="MEA38" s="188"/>
      <c r="MEB38" s="188"/>
      <c r="MEC38" s="188"/>
      <c r="MED38" s="188"/>
      <c r="MEE38" s="188"/>
      <c r="MEF38" s="188"/>
      <c r="MEG38" s="188"/>
      <c r="MEH38" s="188"/>
      <c r="MEI38" s="188"/>
      <c r="MEJ38" s="188"/>
      <c r="MEK38" s="188"/>
      <c r="MEL38" s="188"/>
      <c r="MEM38" s="188"/>
      <c r="MEN38" s="188"/>
      <c r="MEO38" s="188"/>
      <c r="MEP38" s="188"/>
      <c r="MEQ38" s="188"/>
      <c r="MER38" s="188"/>
      <c r="MES38" s="188"/>
      <c r="MET38" s="188"/>
      <c r="MEU38" s="188"/>
      <c r="MEV38" s="188"/>
      <c r="MEW38" s="188"/>
      <c r="MEX38" s="188"/>
      <c r="MEY38" s="188"/>
      <c r="MEZ38" s="188"/>
      <c r="MFA38" s="188"/>
      <c r="MFB38" s="188"/>
      <c r="MFC38" s="188"/>
      <c r="MFD38" s="188"/>
      <c r="MFE38" s="188"/>
      <c r="MFF38" s="188"/>
      <c r="MFG38" s="188"/>
      <c r="MFH38" s="188"/>
      <c r="MFI38" s="188"/>
      <c r="MFJ38" s="188"/>
      <c r="MFK38" s="188"/>
      <c r="MFL38" s="188"/>
      <c r="MFM38" s="188"/>
      <c r="MFN38" s="188"/>
      <c r="MFO38" s="188"/>
      <c r="MFP38" s="188"/>
      <c r="MFQ38" s="188"/>
      <c r="MFR38" s="188"/>
      <c r="MFS38" s="188"/>
      <c r="MFT38" s="188"/>
      <c r="MFW38" s="188"/>
      <c r="MFZ38" s="188"/>
      <c r="MGC38" s="188"/>
      <c r="MGD38" s="188"/>
      <c r="MGE38" s="188"/>
      <c r="MGF38" s="188"/>
      <c r="MGG38" s="188"/>
      <c r="MGH38" s="188"/>
      <c r="MGI38" s="188"/>
      <c r="MGJ38" s="188"/>
      <c r="MGK38" s="188"/>
      <c r="MGM38" s="188"/>
      <c r="MGN38" s="188"/>
      <c r="MGO38" s="188"/>
      <c r="MGP38" s="188"/>
      <c r="MGQ38" s="188"/>
      <c r="MGR38" s="188"/>
      <c r="MGS38" s="188"/>
      <c r="MGT38" s="188"/>
      <c r="MGU38" s="188"/>
      <c r="MGV38" s="188"/>
      <c r="MGW38" s="188"/>
      <c r="MGX38" s="188"/>
      <c r="MGY38" s="188"/>
      <c r="MGZ38" s="188"/>
      <c r="MHA38" s="188"/>
      <c r="MHB38" s="188"/>
      <c r="MHC38" s="188"/>
      <c r="MHD38" s="188"/>
      <c r="MHE38" s="188"/>
      <c r="MHF38" s="188"/>
      <c r="MHG38" s="188"/>
      <c r="MHH38" s="188"/>
      <c r="MHI38" s="188"/>
      <c r="MHJ38" s="188"/>
      <c r="MHK38" s="188"/>
      <c r="MHL38" s="188"/>
      <c r="MHM38" s="188"/>
      <c r="MHN38" s="188"/>
      <c r="MHO38" s="188"/>
      <c r="MHP38" s="188"/>
      <c r="MHQ38" s="188"/>
      <c r="MHR38" s="188"/>
      <c r="MHS38" s="188"/>
      <c r="MHT38" s="188"/>
      <c r="MHU38" s="188"/>
      <c r="MHV38" s="188"/>
      <c r="MHW38" s="188"/>
      <c r="MHX38" s="188"/>
      <c r="MHY38" s="188"/>
      <c r="MHZ38" s="188"/>
      <c r="MIA38" s="188"/>
      <c r="MIB38" s="188"/>
      <c r="MIC38" s="188"/>
      <c r="MID38" s="188"/>
      <c r="MIE38" s="188"/>
      <c r="MIF38" s="188"/>
      <c r="MIG38" s="188"/>
      <c r="MIH38" s="188"/>
      <c r="MII38" s="188"/>
      <c r="MIJ38" s="188"/>
      <c r="MIK38" s="188"/>
      <c r="MIL38" s="188"/>
      <c r="MIM38" s="188"/>
      <c r="MIN38" s="188"/>
      <c r="MIO38" s="188"/>
      <c r="MIP38" s="188"/>
      <c r="MIQ38" s="188"/>
      <c r="MIR38" s="188"/>
      <c r="MIS38" s="188"/>
      <c r="MIT38" s="188"/>
      <c r="MIU38" s="188"/>
      <c r="MIV38" s="188"/>
      <c r="MIW38" s="188"/>
      <c r="MIX38" s="188"/>
      <c r="MIY38" s="188"/>
      <c r="MIZ38" s="188"/>
      <c r="MJA38" s="188"/>
      <c r="MJB38" s="188"/>
      <c r="MJC38" s="188"/>
      <c r="MJD38" s="188"/>
      <c r="MJE38" s="188"/>
      <c r="MJF38" s="188"/>
      <c r="MJG38" s="188"/>
      <c r="MJH38" s="188"/>
      <c r="MJI38" s="188"/>
      <c r="MJJ38" s="188"/>
      <c r="MJK38" s="188"/>
      <c r="MJL38" s="188"/>
      <c r="MJM38" s="188"/>
      <c r="MJN38" s="188"/>
      <c r="MJO38" s="188"/>
      <c r="MJP38" s="188"/>
      <c r="MJQ38" s="188"/>
      <c r="MJR38" s="188"/>
      <c r="MJS38" s="188"/>
      <c r="MJT38" s="188"/>
      <c r="MJU38" s="188"/>
      <c r="MJV38" s="188"/>
      <c r="MJW38" s="188"/>
      <c r="MJX38" s="188"/>
      <c r="MJY38" s="188"/>
      <c r="MJZ38" s="188"/>
      <c r="MKA38" s="188"/>
      <c r="MKB38" s="188"/>
      <c r="MKC38" s="188"/>
      <c r="MKD38" s="188"/>
      <c r="MKE38" s="188"/>
      <c r="MKF38" s="188"/>
      <c r="MKG38" s="188"/>
      <c r="MKH38" s="188"/>
      <c r="MKI38" s="188"/>
      <c r="MKJ38" s="188"/>
      <c r="MKK38" s="188"/>
      <c r="MKL38" s="188"/>
      <c r="MKM38" s="188"/>
      <c r="MKN38" s="188"/>
      <c r="MKO38" s="188"/>
      <c r="MKP38" s="188"/>
      <c r="MKQ38" s="188"/>
      <c r="MKR38" s="188"/>
      <c r="MKS38" s="188"/>
      <c r="MKT38" s="188"/>
      <c r="MKU38" s="188"/>
      <c r="MKV38" s="188"/>
      <c r="MKW38" s="188"/>
      <c r="MKX38" s="188"/>
      <c r="MKY38" s="188"/>
      <c r="MKZ38" s="188"/>
      <c r="MLA38" s="188"/>
      <c r="MLB38" s="188"/>
      <c r="MLC38" s="188"/>
      <c r="MLD38" s="188"/>
      <c r="MLE38" s="188"/>
      <c r="MLF38" s="188"/>
      <c r="MLG38" s="188"/>
      <c r="MLH38" s="188"/>
      <c r="MLI38" s="188"/>
      <c r="MLJ38" s="188"/>
      <c r="MLK38" s="188"/>
      <c r="MLL38" s="188"/>
      <c r="MLM38" s="188"/>
      <c r="MLN38" s="188"/>
      <c r="MLO38" s="188"/>
      <c r="MLP38" s="188"/>
      <c r="MLQ38" s="188"/>
      <c r="MLR38" s="188"/>
      <c r="MLS38" s="188"/>
      <c r="MLT38" s="188"/>
      <c r="MLU38" s="188"/>
      <c r="MLV38" s="188"/>
      <c r="MLW38" s="188"/>
      <c r="MLX38" s="188"/>
      <c r="MLY38" s="188"/>
      <c r="MLZ38" s="188"/>
      <c r="MMA38" s="188"/>
      <c r="MMB38" s="188"/>
      <c r="MMC38" s="188"/>
      <c r="MMD38" s="188"/>
      <c r="MME38" s="188"/>
      <c r="MMF38" s="188"/>
      <c r="MMG38" s="188"/>
      <c r="MMH38" s="188"/>
      <c r="MMI38" s="188"/>
      <c r="MMJ38" s="188"/>
      <c r="MMK38" s="188"/>
      <c r="MML38" s="188"/>
      <c r="MMM38" s="188"/>
      <c r="MMN38" s="188"/>
      <c r="MMO38" s="188"/>
      <c r="MMP38" s="188"/>
      <c r="MMQ38" s="188"/>
      <c r="MMR38" s="188"/>
      <c r="MMS38" s="188"/>
      <c r="MMT38" s="188"/>
      <c r="MMU38" s="188"/>
      <c r="MMV38" s="188"/>
      <c r="MMW38" s="188"/>
      <c r="MMX38" s="188"/>
      <c r="MMY38" s="188"/>
      <c r="MMZ38" s="188"/>
      <c r="MNA38" s="188"/>
      <c r="MNB38" s="188"/>
      <c r="MNC38" s="188"/>
      <c r="MND38" s="188"/>
      <c r="MNE38" s="188"/>
      <c r="MNF38" s="188"/>
      <c r="MNG38" s="188"/>
      <c r="MNH38" s="188"/>
      <c r="MNI38" s="188"/>
      <c r="MNJ38" s="188"/>
      <c r="MNK38" s="188"/>
      <c r="MNL38" s="188"/>
      <c r="MNM38" s="188"/>
      <c r="MNN38" s="188"/>
      <c r="MNO38" s="188"/>
      <c r="MNP38" s="188"/>
      <c r="MNQ38" s="188"/>
      <c r="MNR38" s="188"/>
      <c r="MNS38" s="188"/>
      <c r="MNT38" s="188"/>
      <c r="MNU38" s="188"/>
      <c r="MNV38" s="188"/>
      <c r="MNW38" s="188"/>
      <c r="MNX38" s="188"/>
      <c r="MNY38" s="188"/>
      <c r="MNZ38" s="188"/>
      <c r="MOA38" s="188"/>
      <c r="MOB38" s="188"/>
      <c r="MOC38" s="188"/>
      <c r="MOD38" s="188"/>
      <c r="MOE38" s="188"/>
      <c r="MOF38" s="188"/>
      <c r="MOG38" s="188"/>
      <c r="MOH38" s="188"/>
      <c r="MOI38" s="188"/>
      <c r="MOJ38" s="188"/>
      <c r="MOK38" s="188"/>
      <c r="MOL38" s="188"/>
      <c r="MOM38" s="188"/>
      <c r="MON38" s="188"/>
      <c r="MOO38" s="188"/>
      <c r="MOP38" s="188"/>
      <c r="MOQ38" s="188"/>
      <c r="MOR38" s="188"/>
      <c r="MOS38" s="188"/>
      <c r="MOT38" s="188"/>
      <c r="MOU38" s="188"/>
      <c r="MOV38" s="188"/>
      <c r="MOW38" s="188"/>
      <c r="MOX38" s="188"/>
      <c r="MOY38" s="188"/>
      <c r="MOZ38" s="188"/>
      <c r="MPA38" s="188"/>
      <c r="MPB38" s="188"/>
      <c r="MPC38" s="188"/>
      <c r="MPD38" s="188"/>
      <c r="MPE38" s="188"/>
      <c r="MPF38" s="188"/>
      <c r="MPG38" s="188"/>
      <c r="MPH38" s="188"/>
      <c r="MPI38" s="188"/>
      <c r="MPJ38" s="188"/>
      <c r="MPK38" s="188"/>
      <c r="MPL38" s="188"/>
      <c r="MPM38" s="188"/>
      <c r="MPN38" s="188"/>
      <c r="MPO38" s="188"/>
      <c r="MPP38" s="188"/>
      <c r="MPS38" s="188"/>
      <c r="MPV38" s="188"/>
      <c r="MPY38" s="188"/>
      <c r="MPZ38" s="188"/>
      <c r="MQA38" s="188"/>
      <c r="MQB38" s="188"/>
      <c r="MQC38" s="188"/>
      <c r="MQD38" s="188"/>
      <c r="MQE38" s="188"/>
      <c r="MQF38" s="188"/>
      <c r="MQG38" s="188"/>
      <c r="MQI38" s="188"/>
      <c r="MQJ38" s="188"/>
      <c r="MQK38" s="188"/>
      <c r="MQL38" s="188"/>
      <c r="MQM38" s="188"/>
      <c r="MQN38" s="188"/>
      <c r="MQO38" s="188"/>
      <c r="MQP38" s="188"/>
      <c r="MQQ38" s="188"/>
      <c r="MQR38" s="188"/>
      <c r="MQS38" s="188"/>
      <c r="MQT38" s="188"/>
      <c r="MQU38" s="188"/>
      <c r="MQV38" s="188"/>
      <c r="MQW38" s="188"/>
      <c r="MQX38" s="188"/>
      <c r="MQY38" s="188"/>
      <c r="MQZ38" s="188"/>
      <c r="MRA38" s="188"/>
      <c r="MRB38" s="188"/>
      <c r="MRC38" s="188"/>
      <c r="MRD38" s="188"/>
      <c r="MRE38" s="188"/>
      <c r="MRF38" s="188"/>
      <c r="MRG38" s="188"/>
      <c r="MRH38" s="188"/>
      <c r="MRI38" s="188"/>
      <c r="MRJ38" s="188"/>
      <c r="MRK38" s="188"/>
      <c r="MRL38" s="188"/>
      <c r="MRM38" s="188"/>
      <c r="MRN38" s="188"/>
      <c r="MRO38" s="188"/>
      <c r="MRP38" s="188"/>
      <c r="MRQ38" s="188"/>
      <c r="MRR38" s="188"/>
      <c r="MRS38" s="188"/>
      <c r="MRT38" s="188"/>
      <c r="MRU38" s="188"/>
      <c r="MRV38" s="188"/>
      <c r="MRW38" s="188"/>
      <c r="MRX38" s="188"/>
      <c r="MRY38" s="188"/>
      <c r="MRZ38" s="188"/>
      <c r="MSA38" s="188"/>
      <c r="MSB38" s="188"/>
      <c r="MSC38" s="188"/>
      <c r="MSD38" s="188"/>
      <c r="MSE38" s="188"/>
      <c r="MSF38" s="188"/>
      <c r="MSG38" s="188"/>
      <c r="MSH38" s="188"/>
      <c r="MSI38" s="188"/>
      <c r="MSJ38" s="188"/>
      <c r="MSK38" s="188"/>
      <c r="MSL38" s="188"/>
      <c r="MSM38" s="188"/>
      <c r="MSN38" s="188"/>
      <c r="MSO38" s="188"/>
      <c r="MSP38" s="188"/>
      <c r="MSQ38" s="188"/>
      <c r="MSR38" s="188"/>
      <c r="MSS38" s="188"/>
      <c r="MST38" s="188"/>
      <c r="MSU38" s="188"/>
      <c r="MSV38" s="188"/>
      <c r="MSW38" s="188"/>
      <c r="MSX38" s="188"/>
      <c r="MSY38" s="188"/>
      <c r="MSZ38" s="188"/>
      <c r="MTA38" s="188"/>
      <c r="MTB38" s="188"/>
      <c r="MTC38" s="188"/>
      <c r="MTD38" s="188"/>
      <c r="MTE38" s="188"/>
      <c r="MTF38" s="188"/>
      <c r="MTG38" s="188"/>
      <c r="MTH38" s="188"/>
      <c r="MTI38" s="188"/>
      <c r="MTJ38" s="188"/>
      <c r="MTK38" s="188"/>
      <c r="MTL38" s="188"/>
      <c r="MTM38" s="188"/>
      <c r="MTN38" s="188"/>
      <c r="MTO38" s="188"/>
      <c r="MTP38" s="188"/>
      <c r="MTQ38" s="188"/>
      <c r="MTR38" s="188"/>
      <c r="MTS38" s="188"/>
      <c r="MTT38" s="188"/>
      <c r="MTU38" s="188"/>
      <c r="MTV38" s="188"/>
      <c r="MTW38" s="188"/>
      <c r="MTX38" s="188"/>
      <c r="MTY38" s="188"/>
      <c r="MTZ38" s="188"/>
      <c r="MUA38" s="188"/>
      <c r="MUB38" s="188"/>
      <c r="MUC38" s="188"/>
      <c r="MUD38" s="188"/>
      <c r="MUE38" s="188"/>
      <c r="MUF38" s="188"/>
      <c r="MUG38" s="188"/>
      <c r="MUH38" s="188"/>
      <c r="MUI38" s="188"/>
      <c r="MUJ38" s="188"/>
      <c r="MUK38" s="188"/>
      <c r="MUL38" s="188"/>
      <c r="MUM38" s="188"/>
      <c r="MUN38" s="188"/>
      <c r="MUO38" s="188"/>
      <c r="MUP38" s="188"/>
      <c r="MUQ38" s="188"/>
      <c r="MUR38" s="188"/>
      <c r="MUS38" s="188"/>
      <c r="MUT38" s="188"/>
      <c r="MUU38" s="188"/>
      <c r="MUV38" s="188"/>
      <c r="MUW38" s="188"/>
      <c r="MUX38" s="188"/>
      <c r="MUY38" s="188"/>
      <c r="MUZ38" s="188"/>
      <c r="MVA38" s="188"/>
      <c r="MVB38" s="188"/>
      <c r="MVC38" s="188"/>
      <c r="MVD38" s="188"/>
      <c r="MVE38" s="188"/>
      <c r="MVF38" s="188"/>
      <c r="MVG38" s="188"/>
      <c r="MVH38" s="188"/>
      <c r="MVI38" s="188"/>
      <c r="MVJ38" s="188"/>
      <c r="MVK38" s="188"/>
      <c r="MVL38" s="188"/>
      <c r="MVM38" s="188"/>
      <c r="MVN38" s="188"/>
      <c r="MVO38" s="188"/>
      <c r="MVP38" s="188"/>
      <c r="MVQ38" s="188"/>
      <c r="MVR38" s="188"/>
      <c r="MVS38" s="188"/>
      <c r="MVT38" s="188"/>
      <c r="MVU38" s="188"/>
      <c r="MVV38" s="188"/>
      <c r="MVW38" s="188"/>
      <c r="MVX38" s="188"/>
      <c r="MVY38" s="188"/>
      <c r="MVZ38" s="188"/>
      <c r="MWA38" s="188"/>
      <c r="MWB38" s="188"/>
      <c r="MWC38" s="188"/>
      <c r="MWD38" s="188"/>
      <c r="MWE38" s="188"/>
      <c r="MWF38" s="188"/>
      <c r="MWG38" s="188"/>
      <c r="MWH38" s="188"/>
      <c r="MWI38" s="188"/>
      <c r="MWJ38" s="188"/>
      <c r="MWK38" s="188"/>
      <c r="MWL38" s="188"/>
      <c r="MWM38" s="188"/>
      <c r="MWN38" s="188"/>
      <c r="MWO38" s="188"/>
      <c r="MWP38" s="188"/>
      <c r="MWQ38" s="188"/>
      <c r="MWR38" s="188"/>
      <c r="MWS38" s="188"/>
      <c r="MWT38" s="188"/>
      <c r="MWU38" s="188"/>
      <c r="MWV38" s="188"/>
      <c r="MWW38" s="188"/>
      <c r="MWX38" s="188"/>
      <c r="MWY38" s="188"/>
      <c r="MWZ38" s="188"/>
      <c r="MXA38" s="188"/>
      <c r="MXB38" s="188"/>
      <c r="MXC38" s="188"/>
      <c r="MXD38" s="188"/>
      <c r="MXE38" s="188"/>
      <c r="MXF38" s="188"/>
      <c r="MXG38" s="188"/>
      <c r="MXH38" s="188"/>
      <c r="MXI38" s="188"/>
      <c r="MXJ38" s="188"/>
      <c r="MXK38" s="188"/>
      <c r="MXL38" s="188"/>
      <c r="MXM38" s="188"/>
      <c r="MXN38" s="188"/>
      <c r="MXO38" s="188"/>
      <c r="MXP38" s="188"/>
      <c r="MXQ38" s="188"/>
      <c r="MXR38" s="188"/>
      <c r="MXS38" s="188"/>
      <c r="MXT38" s="188"/>
      <c r="MXU38" s="188"/>
      <c r="MXV38" s="188"/>
      <c r="MXW38" s="188"/>
      <c r="MXX38" s="188"/>
      <c r="MXY38" s="188"/>
      <c r="MXZ38" s="188"/>
      <c r="MYA38" s="188"/>
      <c r="MYB38" s="188"/>
      <c r="MYC38" s="188"/>
      <c r="MYD38" s="188"/>
      <c r="MYE38" s="188"/>
      <c r="MYF38" s="188"/>
      <c r="MYG38" s="188"/>
      <c r="MYH38" s="188"/>
      <c r="MYI38" s="188"/>
      <c r="MYJ38" s="188"/>
      <c r="MYK38" s="188"/>
      <c r="MYL38" s="188"/>
      <c r="MYM38" s="188"/>
      <c r="MYN38" s="188"/>
      <c r="MYO38" s="188"/>
      <c r="MYP38" s="188"/>
      <c r="MYQ38" s="188"/>
      <c r="MYR38" s="188"/>
      <c r="MYS38" s="188"/>
      <c r="MYT38" s="188"/>
      <c r="MYU38" s="188"/>
      <c r="MYV38" s="188"/>
      <c r="MYW38" s="188"/>
      <c r="MYX38" s="188"/>
      <c r="MYY38" s="188"/>
      <c r="MYZ38" s="188"/>
      <c r="MZA38" s="188"/>
      <c r="MZB38" s="188"/>
      <c r="MZC38" s="188"/>
      <c r="MZD38" s="188"/>
      <c r="MZE38" s="188"/>
      <c r="MZF38" s="188"/>
      <c r="MZG38" s="188"/>
      <c r="MZH38" s="188"/>
      <c r="MZI38" s="188"/>
      <c r="MZJ38" s="188"/>
      <c r="MZK38" s="188"/>
      <c r="MZL38" s="188"/>
      <c r="MZO38" s="188"/>
      <c r="MZR38" s="188"/>
      <c r="MZU38" s="188"/>
      <c r="MZV38" s="188"/>
      <c r="MZW38" s="188"/>
      <c r="MZX38" s="188"/>
      <c r="MZY38" s="188"/>
      <c r="MZZ38" s="188"/>
      <c r="NAA38" s="188"/>
      <c r="NAB38" s="188"/>
      <c r="NAC38" s="188"/>
      <c r="NAE38" s="188"/>
      <c r="NAF38" s="188"/>
      <c r="NAG38" s="188"/>
      <c r="NAH38" s="188"/>
      <c r="NAI38" s="188"/>
      <c r="NAJ38" s="188"/>
      <c r="NAK38" s="188"/>
      <c r="NAL38" s="188"/>
      <c r="NAM38" s="188"/>
      <c r="NAN38" s="188"/>
      <c r="NAO38" s="188"/>
      <c r="NAP38" s="188"/>
      <c r="NAQ38" s="188"/>
      <c r="NAR38" s="188"/>
      <c r="NAS38" s="188"/>
      <c r="NAT38" s="188"/>
      <c r="NAU38" s="188"/>
      <c r="NAV38" s="188"/>
      <c r="NAW38" s="188"/>
      <c r="NAX38" s="188"/>
      <c r="NAY38" s="188"/>
      <c r="NAZ38" s="188"/>
      <c r="NBA38" s="188"/>
      <c r="NBB38" s="188"/>
      <c r="NBC38" s="188"/>
      <c r="NBD38" s="188"/>
      <c r="NBE38" s="188"/>
      <c r="NBF38" s="188"/>
      <c r="NBG38" s="188"/>
      <c r="NBH38" s="188"/>
      <c r="NBI38" s="188"/>
      <c r="NBJ38" s="188"/>
      <c r="NBK38" s="188"/>
      <c r="NBL38" s="188"/>
      <c r="NBM38" s="188"/>
      <c r="NBN38" s="188"/>
      <c r="NBO38" s="188"/>
      <c r="NBP38" s="188"/>
      <c r="NBQ38" s="188"/>
      <c r="NBR38" s="188"/>
      <c r="NBS38" s="188"/>
      <c r="NBT38" s="188"/>
      <c r="NBU38" s="188"/>
      <c r="NBV38" s="188"/>
      <c r="NBW38" s="188"/>
      <c r="NBX38" s="188"/>
      <c r="NBY38" s="188"/>
      <c r="NBZ38" s="188"/>
      <c r="NCA38" s="188"/>
      <c r="NCB38" s="188"/>
      <c r="NCC38" s="188"/>
      <c r="NCD38" s="188"/>
      <c r="NCE38" s="188"/>
      <c r="NCF38" s="188"/>
      <c r="NCG38" s="188"/>
      <c r="NCH38" s="188"/>
      <c r="NCI38" s="188"/>
      <c r="NCJ38" s="188"/>
      <c r="NCK38" s="188"/>
      <c r="NCL38" s="188"/>
      <c r="NCM38" s="188"/>
      <c r="NCN38" s="188"/>
      <c r="NCO38" s="188"/>
      <c r="NCP38" s="188"/>
      <c r="NCQ38" s="188"/>
      <c r="NCR38" s="188"/>
      <c r="NCS38" s="188"/>
      <c r="NCT38" s="188"/>
      <c r="NCU38" s="188"/>
      <c r="NCV38" s="188"/>
      <c r="NCW38" s="188"/>
      <c r="NCX38" s="188"/>
      <c r="NCY38" s="188"/>
      <c r="NCZ38" s="188"/>
      <c r="NDA38" s="188"/>
      <c r="NDB38" s="188"/>
      <c r="NDC38" s="188"/>
      <c r="NDD38" s="188"/>
      <c r="NDE38" s="188"/>
      <c r="NDF38" s="188"/>
      <c r="NDG38" s="188"/>
      <c r="NDH38" s="188"/>
      <c r="NDI38" s="188"/>
      <c r="NDJ38" s="188"/>
      <c r="NDK38" s="188"/>
      <c r="NDL38" s="188"/>
      <c r="NDM38" s="188"/>
      <c r="NDN38" s="188"/>
      <c r="NDO38" s="188"/>
      <c r="NDP38" s="188"/>
      <c r="NDQ38" s="188"/>
      <c r="NDR38" s="188"/>
      <c r="NDS38" s="188"/>
      <c r="NDT38" s="188"/>
      <c r="NDU38" s="188"/>
      <c r="NDV38" s="188"/>
      <c r="NDW38" s="188"/>
      <c r="NDX38" s="188"/>
      <c r="NDY38" s="188"/>
      <c r="NDZ38" s="188"/>
      <c r="NEA38" s="188"/>
      <c r="NEB38" s="188"/>
      <c r="NEC38" s="188"/>
      <c r="NED38" s="188"/>
      <c r="NEE38" s="188"/>
      <c r="NEF38" s="188"/>
      <c r="NEG38" s="188"/>
      <c r="NEH38" s="188"/>
      <c r="NEI38" s="188"/>
      <c r="NEJ38" s="188"/>
      <c r="NEK38" s="188"/>
      <c r="NEL38" s="188"/>
      <c r="NEM38" s="188"/>
      <c r="NEN38" s="188"/>
      <c r="NEO38" s="188"/>
      <c r="NEP38" s="188"/>
      <c r="NEQ38" s="188"/>
      <c r="NER38" s="188"/>
      <c r="NES38" s="188"/>
      <c r="NET38" s="188"/>
      <c r="NEU38" s="188"/>
      <c r="NEV38" s="188"/>
      <c r="NEW38" s="188"/>
      <c r="NEX38" s="188"/>
      <c r="NEY38" s="188"/>
      <c r="NEZ38" s="188"/>
      <c r="NFA38" s="188"/>
      <c r="NFB38" s="188"/>
      <c r="NFC38" s="188"/>
      <c r="NFD38" s="188"/>
      <c r="NFE38" s="188"/>
      <c r="NFF38" s="188"/>
      <c r="NFG38" s="188"/>
      <c r="NFH38" s="188"/>
      <c r="NFI38" s="188"/>
      <c r="NFJ38" s="188"/>
      <c r="NFK38" s="188"/>
      <c r="NFL38" s="188"/>
      <c r="NFM38" s="188"/>
      <c r="NFN38" s="188"/>
      <c r="NFO38" s="188"/>
      <c r="NFP38" s="188"/>
      <c r="NFQ38" s="188"/>
      <c r="NFR38" s="188"/>
      <c r="NFS38" s="188"/>
      <c r="NFT38" s="188"/>
      <c r="NFU38" s="188"/>
      <c r="NFV38" s="188"/>
      <c r="NFW38" s="188"/>
      <c r="NFX38" s="188"/>
      <c r="NFY38" s="188"/>
      <c r="NFZ38" s="188"/>
      <c r="NGA38" s="188"/>
      <c r="NGB38" s="188"/>
      <c r="NGC38" s="188"/>
      <c r="NGD38" s="188"/>
      <c r="NGE38" s="188"/>
      <c r="NGF38" s="188"/>
      <c r="NGG38" s="188"/>
      <c r="NGH38" s="188"/>
      <c r="NGI38" s="188"/>
      <c r="NGJ38" s="188"/>
      <c r="NGK38" s="188"/>
      <c r="NGL38" s="188"/>
      <c r="NGM38" s="188"/>
      <c r="NGN38" s="188"/>
      <c r="NGO38" s="188"/>
      <c r="NGP38" s="188"/>
      <c r="NGQ38" s="188"/>
      <c r="NGR38" s="188"/>
      <c r="NGS38" s="188"/>
      <c r="NGT38" s="188"/>
      <c r="NGU38" s="188"/>
      <c r="NGV38" s="188"/>
      <c r="NGW38" s="188"/>
      <c r="NGX38" s="188"/>
      <c r="NGY38" s="188"/>
      <c r="NGZ38" s="188"/>
      <c r="NHA38" s="188"/>
      <c r="NHB38" s="188"/>
      <c r="NHC38" s="188"/>
      <c r="NHD38" s="188"/>
      <c r="NHE38" s="188"/>
      <c r="NHF38" s="188"/>
      <c r="NHG38" s="188"/>
      <c r="NHH38" s="188"/>
      <c r="NHI38" s="188"/>
      <c r="NHJ38" s="188"/>
      <c r="NHK38" s="188"/>
      <c r="NHL38" s="188"/>
      <c r="NHM38" s="188"/>
      <c r="NHN38" s="188"/>
      <c r="NHO38" s="188"/>
      <c r="NHP38" s="188"/>
      <c r="NHQ38" s="188"/>
      <c r="NHR38" s="188"/>
      <c r="NHS38" s="188"/>
      <c r="NHT38" s="188"/>
      <c r="NHU38" s="188"/>
      <c r="NHV38" s="188"/>
      <c r="NHW38" s="188"/>
      <c r="NHX38" s="188"/>
      <c r="NHY38" s="188"/>
      <c r="NHZ38" s="188"/>
      <c r="NIA38" s="188"/>
      <c r="NIB38" s="188"/>
      <c r="NIC38" s="188"/>
      <c r="NID38" s="188"/>
      <c r="NIE38" s="188"/>
      <c r="NIF38" s="188"/>
      <c r="NIG38" s="188"/>
      <c r="NIH38" s="188"/>
      <c r="NII38" s="188"/>
      <c r="NIJ38" s="188"/>
      <c r="NIK38" s="188"/>
      <c r="NIL38" s="188"/>
      <c r="NIM38" s="188"/>
      <c r="NIN38" s="188"/>
      <c r="NIO38" s="188"/>
      <c r="NIP38" s="188"/>
      <c r="NIQ38" s="188"/>
      <c r="NIR38" s="188"/>
      <c r="NIS38" s="188"/>
      <c r="NIT38" s="188"/>
      <c r="NIU38" s="188"/>
      <c r="NIV38" s="188"/>
      <c r="NIW38" s="188"/>
      <c r="NIX38" s="188"/>
      <c r="NIY38" s="188"/>
      <c r="NIZ38" s="188"/>
      <c r="NJA38" s="188"/>
      <c r="NJB38" s="188"/>
      <c r="NJC38" s="188"/>
      <c r="NJD38" s="188"/>
      <c r="NJE38" s="188"/>
      <c r="NJF38" s="188"/>
      <c r="NJG38" s="188"/>
      <c r="NJH38" s="188"/>
      <c r="NJK38" s="188"/>
      <c r="NJN38" s="188"/>
      <c r="NJQ38" s="188"/>
      <c r="NJR38" s="188"/>
      <c r="NJS38" s="188"/>
      <c r="NJT38" s="188"/>
      <c r="NJU38" s="188"/>
      <c r="NJV38" s="188"/>
      <c r="NJW38" s="188"/>
      <c r="NJX38" s="188"/>
      <c r="NJY38" s="188"/>
      <c r="NKA38" s="188"/>
      <c r="NKB38" s="188"/>
      <c r="NKC38" s="188"/>
      <c r="NKD38" s="188"/>
      <c r="NKE38" s="188"/>
      <c r="NKF38" s="188"/>
      <c r="NKG38" s="188"/>
      <c r="NKH38" s="188"/>
      <c r="NKI38" s="188"/>
      <c r="NKJ38" s="188"/>
      <c r="NKK38" s="188"/>
      <c r="NKL38" s="188"/>
      <c r="NKM38" s="188"/>
      <c r="NKN38" s="188"/>
      <c r="NKO38" s="188"/>
      <c r="NKP38" s="188"/>
      <c r="NKQ38" s="188"/>
      <c r="NKR38" s="188"/>
      <c r="NKS38" s="188"/>
      <c r="NKT38" s="188"/>
      <c r="NKU38" s="188"/>
      <c r="NKV38" s="188"/>
      <c r="NKW38" s="188"/>
      <c r="NKX38" s="188"/>
      <c r="NKY38" s="188"/>
      <c r="NKZ38" s="188"/>
      <c r="NLA38" s="188"/>
      <c r="NLB38" s="188"/>
      <c r="NLC38" s="188"/>
      <c r="NLD38" s="188"/>
      <c r="NLE38" s="188"/>
      <c r="NLF38" s="188"/>
      <c r="NLG38" s="188"/>
      <c r="NLH38" s="188"/>
      <c r="NLI38" s="188"/>
      <c r="NLJ38" s="188"/>
      <c r="NLK38" s="188"/>
      <c r="NLL38" s="188"/>
      <c r="NLM38" s="188"/>
      <c r="NLN38" s="188"/>
      <c r="NLO38" s="188"/>
      <c r="NLP38" s="188"/>
      <c r="NLQ38" s="188"/>
      <c r="NLR38" s="188"/>
      <c r="NLS38" s="188"/>
      <c r="NLT38" s="188"/>
      <c r="NLU38" s="188"/>
      <c r="NLV38" s="188"/>
      <c r="NLW38" s="188"/>
      <c r="NLX38" s="188"/>
      <c r="NLY38" s="188"/>
      <c r="NLZ38" s="188"/>
      <c r="NMA38" s="188"/>
      <c r="NMB38" s="188"/>
      <c r="NMC38" s="188"/>
      <c r="NMD38" s="188"/>
      <c r="NME38" s="188"/>
      <c r="NMF38" s="188"/>
      <c r="NMG38" s="188"/>
      <c r="NMH38" s="188"/>
      <c r="NMI38" s="188"/>
      <c r="NMJ38" s="188"/>
      <c r="NMK38" s="188"/>
      <c r="NML38" s="188"/>
      <c r="NMM38" s="188"/>
      <c r="NMN38" s="188"/>
      <c r="NMO38" s="188"/>
      <c r="NMP38" s="188"/>
      <c r="NMQ38" s="188"/>
      <c r="NMR38" s="188"/>
      <c r="NMS38" s="188"/>
      <c r="NMT38" s="188"/>
      <c r="NMU38" s="188"/>
      <c r="NMV38" s="188"/>
      <c r="NMW38" s="188"/>
      <c r="NMX38" s="188"/>
      <c r="NMY38" s="188"/>
      <c r="NMZ38" s="188"/>
      <c r="NNA38" s="188"/>
      <c r="NNB38" s="188"/>
      <c r="NNC38" s="188"/>
      <c r="NND38" s="188"/>
      <c r="NNE38" s="188"/>
      <c r="NNF38" s="188"/>
      <c r="NNG38" s="188"/>
      <c r="NNH38" s="188"/>
      <c r="NNI38" s="188"/>
      <c r="NNJ38" s="188"/>
      <c r="NNK38" s="188"/>
      <c r="NNL38" s="188"/>
      <c r="NNM38" s="188"/>
      <c r="NNN38" s="188"/>
      <c r="NNO38" s="188"/>
      <c r="NNP38" s="188"/>
      <c r="NNQ38" s="188"/>
      <c r="NNR38" s="188"/>
      <c r="NNS38" s="188"/>
      <c r="NNT38" s="188"/>
      <c r="NNU38" s="188"/>
      <c r="NNV38" s="188"/>
      <c r="NNW38" s="188"/>
      <c r="NNX38" s="188"/>
      <c r="NNY38" s="188"/>
      <c r="NNZ38" s="188"/>
      <c r="NOA38" s="188"/>
      <c r="NOB38" s="188"/>
      <c r="NOC38" s="188"/>
      <c r="NOD38" s="188"/>
      <c r="NOE38" s="188"/>
      <c r="NOF38" s="188"/>
      <c r="NOG38" s="188"/>
      <c r="NOH38" s="188"/>
      <c r="NOI38" s="188"/>
      <c r="NOJ38" s="188"/>
      <c r="NOK38" s="188"/>
      <c r="NOL38" s="188"/>
      <c r="NOM38" s="188"/>
      <c r="NON38" s="188"/>
      <c r="NOO38" s="188"/>
      <c r="NOP38" s="188"/>
      <c r="NOQ38" s="188"/>
      <c r="NOR38" s="188"/>
      <c r="NOS38" s="188"/>
      <c r="NOT38" s="188"/>
      <c r="NOU38" s="188"/>
      <c r="NOV38" s="188"/>
      <c r="NOW38" s="188"/>
      <c r="NOX38" s="188"/>
      <c r="NOY38" s="188"/>
      <c r="NOZ38" s="188"/>
      <c r="NPA38" s="188"/>
      <c r="NPB38" s="188"/>
      <c r="NPC38" s="188"/>
      <c r="NPD38" s="188"/>
      <c r="NPE38" s="188"/>
      <c r="NPF38" s="188"/>
      <c r="NPG38" s="188"/>
      <c r="NPH38" s="188"/>
      <c r="NPI38" s="188"/>
      <c r="NPJ38" s="188"/>
      <c r="NPK38" s="188"/>
      <c r="NPL38" s="188"/>
      <c r="NPM38" s="188"/>
      <c r="NPN38" s="188"/>
      <c r="NPO38" s="188"/>
      <c r="NPP38" s="188"/>
      <c r="NPQ38" s="188"/>
      <c r="NPR38" s="188"/>
      <c r="NPS38" s="188"/>
      <c r="NPT38" s="188"/>
      <c r="NPU38" s="188"/>
      <c r="NPV38" s="188"/>
      <c r="NPW38" s="188"/>
      <c r="NPX38" s="188"/>
      <c r="NPY38" s="188"/>
      <c r="NPZ38" s="188"/>
      <c r="NQA38" s="188"/>
      <c r="NQB38" s="188"/>
      <c r="NQC38" s="188"/>
      <c r="NQD38" s="188"/>
      <c r="NQE38" s="188"/>
      <c r="NQF38" s="188"/>
      <c r="NQG38" s="188"/>
      <c r="NQH38" s="188"/>
      <c r="NQI38" s="188"/>
      <c r="NQJ38" s="188"/>
      <c r="NQK38" s="188"/>
      <c r="NQL38" s="188"/>
      <c r="NQM38" s="188"/>
      <c r="NQN38" s="188"/>
      <c r="NQO38" s="188"/>
      <c r="NQP38" s="188"/>
      <c r="NQQ38" s="188"/>
      <c r="NQR38" s="188"/>
      <c r="NQS38" s="188"/>
      <c r="NQT38" s="188"/>
      <c r="NQU38" s="188"/>
      <c r="NQV38" s="188"/>
      <c r="NQW38" s="188"/>
      <c r="NQX38" s="188"/>
      <c r="NQY38" s="188"/>
      <c r="NQZ38" s="188"/>
      <c r="NRA38" s="188"/>
      <c r="NRB38" s="188"/>
      <c r="NRC38" s="188"/>
      <c r="NRD38" s="188"/>
      <c r="NRE38" s="188"/>
      <c r="NRF38" s="188"/>
      <c r="NRG38" s="188"/>
      <c r="NRH38" s="188"/>
      <c r="NRI38" s="188"/>
      <c r="NRJ38" s="188"/>
      <c r="NRK38" s="188"/>
      <c r="NRL38" s="188"/>
      <c r="NRM38" s="188"/>
      <c r="NRN38" s="188"/>
      <c r="NRO38" s="188"/>
      <c r="NRP38" s="188"/>
      <c r="NRQ38" s="188"/>
      <c r="NRR38" s="188"/>
      <c r="NRS38" s="188"/>
      <c r="NRT38" s="188"/>
      <c r="NRU38" s="188"/>
      <c r="NRV38" s="188"/>
      <c r="NRW38" s="188"/>
      <c r="NRX38" s="188"/>
      <c r="NRY38" s="188"/>
      <c r="NRZ38" s="188"/>
      <c r="NSA38" s="188"/>
      <c r="NSB38" s="188"/>
      <c r="NSC38" s="188"/>
      <c r="NSD38" s="188"/>
      <c r="NSE38" s="188"/>
      <c r="NSF38" s="188"/>
      <c r="NSG38" s="188"/>
      <c r="NSH38" s="188"/>
      <c r="NSI38" s="188"/>
      <c r="NSJ38" s="188"/>
      <c r="NSK38" s="188"/>
      <c r="NSL38" s="188"/>
      <c r="NSM38" s="188"/>
      <c r="NSN38" s="188"/>
      <c r="NSO38" s="188"/>
      <c r="NSP38" s="188"/>
      <c r="NSQ38" s="188"/>
      <c r="NSR38" s="188"/>
      <c r="NSS38" s="188"/>
      <c r="NST38" s="188"/>
      <c r="NSU38" s="188"/>
      <c r="NSV38" s="188"/>
      <c r="NSW38" s="188"/>
      <c r="NSX38" s="188"/>
      <c r="NSY38" s="188"/>
      <c r="NSZ38" s="188"/>
      <c r="NTA38" s="188"/>
      <c r="NTB38" s="188"/>
      <c r="NTC38" s="188"/>
      <c r="NTD38" s="188"/>
      <c r="NTG38" s="188"/>
      <c r="NTJ38" s="188"/>
      <c r="NTM38" s="188"/>
      <c r="NTN38" s="188"/>
      <c r="NTO38" s="188"/>
      <c r="NTP38" s="188"/>
      <c r="NTQ38" s="188"/>
      <c r="NTR38" s="188"/>
      <c r="NTS38" s="188"/>
      <c r="NTT38" s="188"/>
      <c r="NTU38" s="188"/>
      <c r="NTW38" s="188"/>
      <c r="NTX38" s="188"/>
      <c r="NTY38" s="188"/>
      <c r="NTZ38" s="188"/>
      <c r="NUA38" s="188"/>
      <c r="NUB38" s="188"/>
      <c r="NUC38" s="188"/>
      <c r="NUD38" s="188"/>
      <c r="NUE38" s="188"/>
      <c r="NUF38" s="188"/>
      <c r="NUG38" s="188"/>
      <c r="NUH38" s="188"/>
      <c r="NUI38" s="188"/>
      <c r="NUJ38" s="188"/>
      <c r="NUK38" s="188"/>
      <c r="NUL38" s="188"/>
      <c r="NUM38" s="188"/>
      <c r="NUN38" s="188"/>
      <c r="NUO38" s="188"/>
      <c r="NUP38" s="188"/>
      <c r="NUQ38" s="188"/>
      <c r="NUR38" s="188"/>
      <c r="NUS38" s="188"/>
      <c r="NUT38" s="188"/>
      <c r="NUU38" s="188"/>
      <c r="NUV38" s="188"/>
      <c r="NUW38" s="188"/>
      <c r="NUX38" s="188"/>
      <c r="NUY38" s="188"/>
      <c r="NUZ38" s="188"/>
      <c r="NVA38" s="188"/>
      <c r="NVB38" s="188"/>
      <c r="NVC38" s="188"/>
      <c r="NVD38" s="188"/>
      <c r="NVE38" s="188"/>
      <c r="NVF38" s="188"/>
      <c r="NVG38" s="188"/>
      <c r="NVH38" s="188"/>
      <c r="NVI38" s="188"/>
      <c r="NVJ38" s="188"/>
      <c r="NVK38" s="188"/>
      <c r="NVL38" s="188"/>
      <c r="NVM38" s="188"/>
      <c r="NVN38" s="188"/>
      <c r="NVO38" s="188"/>
      <c r="NVP38" s="188"/>
      <c r="NVQ38" s="188"/>
      <c r="NVR38" s="188"/>
      <c r="NVS38" s="188"/>
      <c r="NVT38" s="188"/>
      <c r="NVU38" s="188"/>
      <c r="NVV38" s="188"/>
      <c r="NVW38" s="188"/>
      <c r="NVX38" s="188"/>
      <c r="NVY38" s="188"/>
      <c r="NVZ38" s="188"/>
      <c r="NWA38" s="188"/>
      <c r="NWB38" s="188"/>
      <c r="NWC38" s="188"/>
      <c r="NWD38" s="188"/>
      <c r="NWE38" s="188"/>
      <c r="NWF38" s="188"/>
      <c r="NWG38" s="188"/>
      <c r="NWH38" s="188"/>
      <c r="NWI38" s="188"/>
      <c r="NWJ38" s="188"/>
      <c r="NWK38" s="188"/>
      <c r="NWL38" s="188"/>
      <c r="NWM38" s="188"/>
      <c r="NWN38" s="188"/>
      <c r="NWO38" s="188"/>
      <c r="NWP38" s="188"/>
      <c r="NWQ38" s="188"/>
      <c r="NWR38" s="188"/>
      <c r="NWS38" s="188"/>
      <c r="NWT38" s="188"/>
      <c r="NWU38" s="188"/>
      <c r="NWV38" s="188"/>
      <c r="NWW38" s="188"/>
      <c r="NWX38" s="188"/>
      <c r="NWY38" s="188"/>
      <c r="NWZ38" s="188"/>
      <c r="NXA38" s="188"/>
      <c r="NXB38" s="188"/>
      <c r="NXC38" s="188"/>
      <c r="NXD38" s="188"/>
      <c r="NXE38" s="188"/>
      <c r="NXF38" s="188"/>
      <c r="NXG38" s="188"/>
      <c r="NXH38" s="188"/>
      <c r="NXI38" s="188"/>
      <c r="NXJ38" s="188"/>
      <c r="NXK38" s="188"/>
      <c r="NXL38" s="188"/>
      <c r="NXM38" s="188"/>
      <c r="NXN38" s="188"/>
      <c r="NXO38" s="188"/>
      <c r="NXP38" s="188"/>
      <c r="NXQ38" s="188"/>
      <c r="NXR38" s="188"/>
      <c r="NXS38" s="188"/>
      <c r="NXT38" s="188"/>
      <c r="NXU38" s="188"/>
      <c r="NXV38" s="188"/>
      <c r="NXW38" s="188"/>
      <c r="NXX38" s="188"/>
      <c r="NXY38" s="188"/>
      <c r="NXZ38" s="188"/>
      <c r="NYA38" s="188"/>
      <c r="NYB38" s="188"/>
      <c r="NYC38" s="188"/>
      <c r="NYD38" s="188"/>
      <c r="NYE38" s="188"/>
      <c r="NYF38" s="188"/>
      <c r="NYG38" s="188"/>
      <c r="NYH38" s="188"/>
      <c r="NYI38" s="188"/>
      <c r="NYJ38" s="188"/>
      <c r="NYK38" s="188"/>
      <c r="NYL38" s="188"/>
      <c r="NYM38" s="188"/>
      <c r="NYN38" s="188"/>
      <c r="NYO38" s="188"/>
      <c r="NYP38" s="188"/>
      <c r="NYQ38" s="188"/>
      <c r="NYR38" s="188"/>
      <c r="NYS38" s="188"/>
      <c r="NYT38" s="188"/>
      <c r="NYU38" s="188"/>
      <c r="NYV38" s="188"/>
      <c r="NYW38" s="188"/>
      <c r="NYX38" s="188"/>
      <c r="NYY38" s="188"/>
      <c r="NYZ38" s="188"/>
      <c r="NZA38" s="188"/>
      <c r="NZB38" s="188"/>
      <c r="NZC38" s="188"/>
      <c r="NZD38" s="188"/>
      <c r="NZE38" s="188"/>
      <c r="NZF38" s="188"/>
      <c r="NZG38" s="188"/>
      <c r="NZH38" s="188"/>
      <c r="NZI38" s="188"/>
      <c r="NZJ38" s="188"/>
      <c r="NZK38" s="188"/>
      <c r="NZL38" s="188"/>
      <c r="NZM38" s="188"/>
      <c r="NZN38" s="188"/>
      <c r="NZO38" s="188"/>
      <c r="NZP38" s="188"/>
      <c r="NZQ38" s="188"/>
      <c r="NZR38" s="188"/>
      <c r="NZS38" s="188"/>
      <c r="NZT38" s="188"/>
      <c r="NZU38" s="188"/>
      <c r="NZV38" s="188"/>
      <c r="NZW38" s="188"/>
      <c r="NZX38" s="188"/>
      <c r="NZY38" s="188"/>
      <c r="NZZ38" s="188"/>
      <c r="OAA38" s="188"/>
      <c r="OAB38" s="188"/>
      <c r="OAC38" s="188"/>
      <c r="OAD38" s="188"/>
      <c r="OAE38" s="188"/>
      <c r="OAF38" s="188"/>
      <c r="OAG38" s="188"/>
      <c r="OAH38" s="188"/>
      <c r="OAI38" s="188"/>
      <c r="OAJ38" s="188"/>
      <c r="OAK38" s="188"/>
      <c r="OAL38" s="188"/>
      <c r="OAM38" s="188"/>
      <c r="OAN38" s="188"/>
      <c r="OAO38" s="188"/>
      <c r="OAP38" s="188"/>
      <c r="OAQ38" s="188"/>
      <c r="OAR38" s="188"/>
      <c r="OAS38" s="188"/>
      <c r="OAT38" s="188"/>
      <c r="OAU38" s="188"/>
      <c r="OAV38" s="188"/>
      <c r="OAW38" s="188"/>
      <c r="OAX38" s="188"/>
      <c r="OAY38" s="188"/>
      <c r="OAZ38" s="188"/>
      <c r="OBA38" s="188"/>
      <c r="OBB38" s="188"/>
      <c r="OBC38" s="188"/>
      <c r="OBD38" s="188"/>
      <c r="OBE38" s="188"/>
      <c r="OBF38" s="188"/>
      <c r="OBG38" s="188"/>
      <c r="OBH38" s="188"/>
      <c r="OBI38" s="188"/>
      <c r="OBJ38" s="188"/>
      <c r="OBK38" s="188"/>
      <c r="OBL38" s="188"/>
      <c r="OBM38" s="188"/>
      <c r="OBN38" s="188"/>
      <c r="OBO38" s="188"/>
      <c r="OBP38" s="188"/>
      <c r="OBQ38" s="188"/>
      <c r="OBR38" s="188"/>
      <c r="OBS38" s="188"/>
      <c r="OBT38" s="188"/>
      <c r="OBU38" s="188"/>
      <c r="OBV38" s="188"/>
      <c r="OBW38" s="188"/>
      <c r="OBX38" s="188"/>
      <c r="OBY38" s="188"/>
      <c r="OBZ38" s="188"/>
      <c r="OCA38" s="188"/>
      <c r="OCB38" s="188"/>
      <c r="OCC38" s="188"/>
      <c r="OCD38" s="188"/>
      <c r="OCE38" s="188"/>
      <c r="OCF38" s="188"/>
      <c r="OCG38" s="188"/>
      <c r="OCH38" s="188"/>
      <c r="OCI38" s="188"/>
      <c r="OCJ38" s="188"/>
      <c r="OCK38" s="188"/>
      <c r="OCL38" s="188"/>
      <c r="OCM38" s="188"/>
      <c r="OCN38" s="188"/>
      <c r="OCO38" s="188"/>
      <c r="OCP38" s="188"/>
      <c r="OCQ38" s="188"/>
      <c r="OCR38" s="188"/>
      <c r="OCS38" s="188"/>
      <c r="OCT38" s="188"/>
      <c r="OCU38" s="188"/>
      <c r="OCV38" s="188"/>
      <c r="OCW38" s="188"/>
      <c r="OCX38" s="188"/>
      <c r="OCY38" s="188"/>
      <c r="OCZ38" s="188"/>
      <c r="ODC38" s="188"/>
      <c r="ODF38" s="188"/>
      <c r="ODI38" s="188"/>
      <c r="ODJ38" s="188"/>
      <c r="ODK38" s="188"/>
      <c r="ODL38" s="188"/>
      <c r="ODM38" s="188"/>
      <c r="ODN38" s="188"/>
      <c r="ODO38" s="188"/>
      <c r="ODP38" s="188"/>
      <c r="ODQ38" s="188"/>
      <c r="ODS38" s="188"/>
      <c r="ODT38" s="188"/>
      <c r="ODU38" s="188"/>
      <c r="ODV38" s="188"/>
      <c r="ODW38" s="188"/>
      <c r="ODX38" s="188"/>
      <c r="ODY38" s="188"/>
      <c r="ODZ38" s="188"/>
      <c r="OEA38" s="188"/>
      <c r="OEB38" s="188"/>
      <c r="OEC38" s="188"/>
      <c r="OED38" s="188"/>
      <c r="OEE38" s="188"/>
      <c r="OEF38" s="188"/>
      <c r="OEG38" s="188"/>
      <c r="OEH38" s="188"/>
      <c r="OEI38" s="188"/>
      <c r="OEJ38" s="188"/>
      <c r="OEK38" s="188"/>
      <c r="OEL38" s="188"/>
      <c r="OEM38" s="188"/>
      <c r="OEN38" s="188"/>
      <c r="OEO38" s="188"/>
      <c r="OEP38" s="188"/>
      <c r="OEQ38" s="188"/>
      <c r="OER38" s="188"/>
      <c r="OES38" s="188"/>
      <c r="OET38" s="188"/>
      <c r="OEU38" s="188"/>
      <c r="OEV38" s="188"/>
      <c r="OEW38" s="188"/>
      <c r="OEX38" s="188"/>
      <c r="OEY38" s="188"/>
      <c r="OEZ38" s="188"/>
      <c r="OFA38" s="188"/>
      <c r="OFB38" s="188"/>
      <c r="OFC38" s="188"/>
      <c r="OFD38" s="188"/>
      <c r="OFE38" s="188"/>
      <c r="OFF38" s="188"/>
      <c r="OFG38" s="188"/>
      <c r="OFH38" s="188"/>
      <c r="OFI38" s="188"/>
      <c r="OFJ38" s="188"/>
      <c r="OFK38" s="188"/>
      <c r="OFL38" s="188"/>
      <c r="OFM38" s="188"/>
      <c r="OFN38" s="188"/>
      <c r="OFO38" s="188"/>
      <c r="OFP38" s="188"/>
      <c r="OFQ38" s="188"/>
      <c r="OFR38" s="188"/>
      <c r="OFS38" s="188"/>
      <c r="OFT38" s="188"/>
      <c r="OFU38" s="188"/>
      <c r="OFV38" s="188"/>
      <c r="OFW38" s="188"/>
      <c r="OFX38" s="188"/>
      <c r="OFY38" s="188"/>
      <c r="OFZ38" s="188"/>
      <c r="OGA38" s="188"/>
      <c r="OGB38" s="188"/>
      <c r="OGC38" s="188"/>
      <c r="OGD38" s="188"/>
      <c r="OGE38" s="188"/>
      <c r="OGF38" s="188"/>
      <c r="OGG38" s="188"/>
      <c r="OGH38" s="188"/>
      <c r="OGI38" s="188"/>
      <c r="OGJ38" s="188"/>
      <c r="OGK38" s="188"/>
      <c r="OGL38" s="188"/>
      <c r="OGM38" s="188"/>
      <c r="OGN38" s="188"/>
      <c r="OGO38" s="188"/>
      <c r="OGP38" s="188"/>
      <c r="OGQ38" s="188"/>
      <c r="OGR38" s="188"/>
      <c r="OGS38" s="188"/>
      <c r="OGT38" s="188"/>
      <c r="OGU38" s="188"/>
      <c r="OGV38" s="188"/>
      <c r="OGW38" s="188"/>
      <c r="OGX38" s="188"/>
      <c r="OGY38" s="188"/>
      <c r="OGZ38" s="188"/>
      <c r="OHA38" s="188"/>
      <c r="OHB38" s="188"/>
      <c r="OHC38" s="188"/>
      <c r="OHD38" s="188"/>
      <c r="OHE38" s="188"/>
      <c r="OHF38" s="188"/>
      <c r="OHG38" s="188"/>
      <c r="OHH38" s="188"/>
      <c r="OHI38" s="188"/>
      <c r="OHJ38" s="188"/>
      <c r="OHK38" s="188"/>
      <c r="OHL38" s="188"/>
      <c r="OHM38" s="188"/>
      <c r="OHN38" s="188"/>
      <c r="OHO38" s="188"/>
      <c r="OHP38" s="188"/>
      <c r="OHQ38" s="188"/>
      <c r="OHR38" s="188"/>
      <c r="OHS38" s="188"/>
      <c r="OHT38" s="188"/>
      <c r="OHU38" s="188"/>
      <c r="OHV38" s="188"/>
      <c r="OHW38" s="188"/>
      <c r="OHX38" s="188"/>
      <c r="OHY38" s="188"/>
      <c r="OHZ38" s="188"/>
      <c r="OIA38" s="188"/>
      <c r="OIB38" s="188"/>
      <c r="OIC38" s="188"/>
      <c r="OID38" s="188"/>
      <c r="OIE38" s="188"/>
      <c r="OIF38" s="188"/>
      <c r="OIG38" s="188"/>
      <c r="OIH38" s="188"/>
      <c r="OII38" s="188"/>
      <c r="OIJ38" s="188"/>
      <c r="OIK38" s="188"/>
      <c r="OIL38" s="188"/>
      <c r="OIM38" s="188"/>
      <c r="OIN38" s="188"/>
      <c r="OIO38" s="188"/>
      <c r="OIP38" s="188"/>
      <c r="OIQ38" s="188"/>
      <c r="OIR38" s="188"/>
      <c r="OIS38" s="188"/>
      <c r="OIT38" s="188"/>
      <c r="OIU38" s="188"/>
      <c r="OIV38" s="188"/>
      <c r="OIW38" s="188"/>
      <c r="OIX38" s="188"/>
      <c r="OIY38" s="188"/>
      <c r="OIZ38" s="188"/>
      <c r="OJA38" s="188"/>
      <c r="OJB38" s="188"/>
      <c r="OJC38" s="188"/>
      <c r="OJD38" s="188"/>
      <c r="OJE38" s="188"/>
      <c r="OJF38" s="188"/>
      <c r="OJG38" s="188"/>
      <c r="OJH38" s="188"/>
      <c r="OJI38" s="188"/>
      <c r="OJJ38" s="188"/>
      <c r="OJK38" s="188"/>
      <c r="OJL38" s="188"/>
      <c r="OJM38" s="188"/>
      <c r="OJN38" s="188"/>
      <c r="OJO38" s="188"/>
      <c r="OJP38" s="188"/>
      <c r="OJQ38" s="188"/>
      <c r="OJR38" s="188"/>
      <c r="OJS38" s="188"/>
      <c r="OJT38" s="188"/>
      <c r="OJU38" s="188"/>
      <c r="OJV38" s="188"/>
      <c r="OJW38" s="188"/>
      <c r="OJX38" s="188"/>
      <c r="OJY38" s="188"/>
      <c r="OJZ38" s="188"/>
      <c r="OKA38" s="188"/>
      <c r="OKB38" s="188"/>
      <c r="OKC38" s="188"/>
      <c r="OKD38" s="188"/>
      <c r="OKE38" s="188"/>
      <c r="OKF38" s="188"/>
      <c r="OKG38" s="188"/>
      <c r="OKH38" s="188"/>
      <c r="OKI38" s="188"/>
      <c r="OKJ38" s="188"/>
      <c r="OKK38" s="188"/>
      <c r="OKL38" s="188"/>
      <c r="OKM38" s="188"/>
      <c r="OKN38" s="188"/>
      <c r="OKO38" s="188"/>
      <c r="OKP38" s="188"/>
      <c r="OKQ38" s="188"/>
      <c r="OKR38" s="188"/>
      <c r="OKS38" s="188"/>
      <c r="OKT38" s="188"/>
      <c r="OKU38" s="188"/>
      <c r="OKV38" s="188"/>
      <c r="OKW38" s="188"/>
      <c r="OKX38" s="188"/>
      <c r="OKY38" s="188"/>
      <c r="OKZ38" s="188"/>
      <c r="OLA38" s="188"/>
      <c r="OLB38" s="188"/>
      <c r="OLC38" s="188"/>
      <c r="OLD38" s="188"/>
      <c r="OLE38" s="188"/>
      <c r="OLF38" s="188"/>
      <c r="OLG38" s="188"/>
      <c r="OLH38" s="188"/>
      <c r="OLI38" s="188"/>
      <c r="OLJ38" s="188"/>
      <c r="OLK38" s="188"/>
      <c r="OLL38" s="188"/>
      <c r="OLM38" s="188"/>
      <c r="OLN38" s="188"/>
      <c r="OLO38" s="188"/>
      <c r="OLP38" s="188"/>
      <c r="OLQ38" s="188"/>
      <c r="OLR38" s="188"/>
      <c r="OLS38" s="188"/>
      <c r="OLT38" s="188"/>
      <c r="OLU38" s="188"/>
      <c r="OLV38" s="188"/>
      <c r="OLW38" s="188"/>
      <c r="OLX38" s="188"/>
      <c r="OLY38" s="188"/>
      <c r="OLZ38" s="188"/>
      <c r="OMA38" s="188"/>
      <c r="OMB38" s="188"/>
      <c r="OMC38" s="188"/>
      <c r="OMD38" s="188"/>
      <c r="OME38" s="188"/>
      <c r="OMF38" s="188"/>
      <c r="OMG38" s="188"/>
      <c r="OMH38" s="188"/>
      <c r="OMI38" s="188"/>
      <c r="OMJ38" s="188"/>
      <c r="OMK38" s="188"/>
      <c r="OML38" s="188"/>
      <c r="OMM38" s="188"/>
      <c r="OMN38" s="188"/>
      <c r="OMO38" s="188"/>
      <c r="OMP38" s="188"/>
      <c r="OMQ38" s="188"/>
      <c r="OMR38" s="188"/>
      <c r="OMS38" s="188"/>
      <c r="OMT38" s="188"/>
      <c r="OMU38" s="188"/>
      <c r="OMV38" s="188"/>
      <c r="OMY38" s="188"/>
      <c r="ONB38" s="188"/>
      <c r="ONE38" s="188"/>
      <c r="ONF38" s="188"/>
      <c r="ONG38" s="188"/>
      <c r="ONH38" s="188"/>
      <c r="ONI38" s="188"/>
      <c r="ONJ38" s="188"/>
      <c r="ONK38" s="188"/>
      <c r="ONL38" s="188"/>
      <c r="ONM38" s="188"/>
      <c r="ONO38" s="188"/>
      <c r="ONP38" s="188"/>
      <c r="ONQ38" s="188"/>
      <c r="ONR38" s="188"/>
      <c r="ONS38" s="188"/>
      <c r="ONT38" s="188"/>
      <c r="ONU38" s="188"/>
      <c r="ONV38" s="188"/>
      <c r="ONW38" s="188"/>
      <c r="ONX38" s="188"/>
      <c r="ONY38" s="188"/>
      <c r="ONZ38" s="188"/>
      <c r="OOA38" s="188"/>
      <c r="OOB38" s="188"/>
      <c r="OOC38" s="188"/>
      <c r="OOD38" s="188"/>
      <c r="OOE38" s="188"/>
      <c r="OOF38" s="188"/>
      <c r="OOG38" s="188"/>
      <c r="OOH38" s="188"/>
      <c r="OOI38" s="188"/>
      <c r="OOJ38" s="188"/>
      <c r="OOK38" s="188"/>
      <c r="OOL38" s="188"/>
      <c r="OOM38" s="188"/>
      <c r="OON38" s="188"/>
      <c r="OOO38" s="188"/>
      <c r="OOP38" s="188"/>
      <c r="OOQ38" s="188"/>
      <c r="OOR38" s="188"/>
      <c r="OOS38" s="188"/>
      <c r="OOT38" s="188"/>
      <c r="OOU38" s="188"/>
      <c r="OOV38" s="188"/>
      <c r="OOW38" s="188"/>
      <c r="OOX38" s="188"/>
      <c r="OOY38" s="188"/>
      <c r="OOZ38" s="188"/>
      <c r="OPA38" s="188"/>
      <c r="OPB38" s="188"/>
      <c r="OPC38" s="188"/>
      <c r="OPD38" s="188"/>
      <c r="OPE38" s="188"/>
      <c r="OPF38" s="188"/>
      <c r="OPG38" s="188"/>
      <c r="OPH38" s="188"/>
      <c r="OPI38" s="188"/>
      <c r="OPJ38" s="188"/>
      <c r="OPK38" s="188"/>
      <c r="OPL38" s="188"/>
      <c r="OPM38" s="188"/>
      <c r="OPN38" s="188"/>
      <c r="OPO38" s="188"/>
      <c r="OPP38" s="188"/>
      <c r="OPQ38" s="188"/>
      <c r="OPR38" s="188"/>
      <c r="OPS38" s="188"/>
      <c r="OPT38" s="188"/>
      <c r="OPU38" s="188"/>
      <c r="OPV38" s="188"/>
      <c r="OPW38" s="188"/>
      <c r="OPX38" s="188"/>
      <c r="OPY38" s="188"/>
      <c r="OPZ38" s="188"/>
      <c r="OQA38" s="188"/>
      <c r="OQB38" s="188"/>
      <c r="OQC38" s="188"/>
      <c r="OQD38" s="188"/>
      <c r="OQE38" s="188"/>
      <c r="OQF38" s="188"/>
      <c r="OQG38" s="188"/>
      <c r="OQH38" s="188"/>
      <c r="OQI38" s="188"/>
      <c r="OQJ38" s="188"/>
      <c r="OQK38" s="188"/>
      <c r="OQL38" s="188"/>
      <c r="OQM38" s="188"/>
      <c r="OQN38" s="188"/>
      <c r="OQO38" s="188"/>
      <c r="OQP38" s="188"/>
      <c r="OQQ38" s="188"/>
      <c r="OQR38" s="188"/>
      <c r="OQS38" s="188"/>
      <c r="OQT38" s="188"/>
      <c r="OQU38" s="188"/>
      <c r="OQV38" s="188"/>
      <c r="OQW38" s="188"/>
      <c r="OQX38" s="188"/>
      <c r="OQY38" s="188"/>
      <c r="OQZ38" s="188"/>
      <c r="ORA38" s="188"/>
      <c r="ORB38" s="188"/>
      <c r="ORC38" s="188"/>
      <c r="ORD38" s="188"/>
      <c r="ORE38" s="188"/>
      <c r="ORF38" s="188"/>
      <c r="ORG38" s="188"/>
      <c r="ORH38" s="188"/>
      <c r="ORI38" s="188"/>
      <c r="ORJ38" s="188"/>
      <c r="ORK38" s="188"/>
      <c r="ORL38" s="188"/>
      <c r="ORM38" s="188"/>
      <c r="ORN38" s="188"/>
      <c r="ORO38" s="188"/>
      <c r="ORP38" s="188"/>
      <c r="ORQ38" s="188"/>
      <c r="ORR38" s="188"/>
      <c r="ORS38" s="188"/>
      <c r="ORT38" s="188"/>
      <c r="ORU38" s="188"/>
      <c r="ORV38" s="188"/>
      <c r="ORW38" s="188"/>
      <c r="ORX38" s="188"/>
      <c r="ORY38" s="188"/>
      <c r="ORZ38" s="188"/>
      <c r="OSA38" s="188"/>
      <c r="OSB38" s="188"/>
      <c r="OSC38" s="188"/>
      <c r="OSD38" s="188"/>
      <c r="OSE38" s="188"/>
      <c r="OSF38" s="188"/>
      <c r="OSG38" s="188"/>
      <c r="OSH38" s="188"/>
      <c r="OSI38" s="188"/>
      <c r="OSJ38" s="188"/>
      <c r="OSK38" s="188"/>
      <c r="OSL38" s="188"/>
      <c r="OSM38" s="188"/>
      <c r="OSN38" s="188"/>
      <c r="OSO38" s="188"/>
      <c r="OSP38" s="188"/>
      <c r="OSQ38" s="188"/>
      <c r="OSR38" s="188"/>
      <c r="OSS38" s="188"/>
      <c r="OST38" s="188"/>
      <c r="OSU38" s="188"/>
      <c r="OSV38" s="188"/>
      <c r="OSW38" s="188"/>
      <c r="OSX38" s="188"/>
      <c r="OSY38" s="188"/>
      <c r="OSZ38" s="188"/>
      <c r="OTA38" s="188"/>
      <c r="OTB38" s="188"/>
      <c r="OTC38" s="188"/>
      <c r="OTD38" s="188"/>
      <c r="OTE38" s="188"/>
      <c r="OTF38" s="188"/>
      <c r="OTG38" s="188"/>
      <c r="OTH38" s="188"/>
      <c r="OTI38" s="188"/>
      <c r="OTJ38" s="188"/>
      <c r="OTK38" s="188"/>
      <c r="OTL38" s="188"/>
      <c r="OTM38" s="188"/>
      <c r="OTN38" s="188"/>
      <c r="OTO38" s="188"/>
      <c r="OTP38" s="188"/>
      <c r="OTQ38" s="188"/>
      <c r="OTR38" s="188"/>
      <c r="OTS38" s="188"/>
      <c r="OTT38" s="188"/>
      <c r="OTU38" s="188"/>
      <c r="OTV38" s="188"/>
      <c r="OTW38" s="188"/>
      <c r="OTX38" s="188"/>
      <c r="OTY38" s="188"/>
      <c r="OTZ38" s="188"/>
      <c r="OUA38" s="188"/>
      <c r="OUB38" s="188"/>
      <c r="OUC38" s="188"/>
      <c r="OUD38" s="188"/>
      <c r="OUE38" s="188"/>
      <c r="OUF38" s="188"/>
      <c r="OUG38" s="188"/>
      <c r="OUH38" s="188"/>
      <c r="OUI38" s="188"/>
      <c r="OUJ38" s="188"/>
      <c r="OUK38" s="188"/>
      <c r="OUL38" s="188"/>
      <c r="OUM38" s="188"/>
      <c r="OUN38" s="188"/>
      <c r="OUO38" s="188"/>
      <c r="OUP38" s="188"/>
      <c r="OUQ38" s="188"/>
      <c r="OUR38" s="188"/>
      <c r="OUS38" s="188"/>
      <c r="OUT38" s="188"/>
      <c r="OUU38" s="188"/>
      <c r="OUV38" s="188"/>
      <c r="OUW38" s="188"/>
      <c r="OUX38" s="188"/>
      <c r="OUY38" s="188"/>
      <c r="OUZ38" s="188"/>
      <c r="OVA38" s="188"/>
      <c r="OVB38" s="188"/>
      <c r="OVC38" s="188"/>
      <c r="OVD38" s="188"/>
      <c r="OVE38" s="188"/>
      <c r="OVF38" s="188"/>
      <c r="OVG38" s="188"/>
      <c r="OVH38" s="188"/>
      <c r="OVI38" s="188"/>
      <c r="OVJ38" s="188"/>
      <c r="OVK38" s="188"/>
      <c r="OVL38" s="188"/>
      <c r="OVM38" s="188"/>
      <c r="OVN38" s="188"/>
      <c r="OVO38" s="188"/>
      <c r="OVP38" s="188"/>
      <c r="OVQ38" s="188"/>
      <c r="OVR38" s="188"/>
      <c r="OVS38" s="188"/>
      <c r="OVT38" s="188"/>
      <c r="OVU38" s="188"/>
      <c r="OVV38" s="188"/>
      <c r="OVW38" s="188"/>
      <c r="OVX38" s="188"/>
      <c r="OVY38" s="188"/>
      <c r="OVZ38" s="188"/>
      <c r="OWA38" s="188"/>
      <c r="OWB38" s="188"/>
      <c r="OWC38" s="188"/>
      <c r="OWD38" s="188"/>
      <c r="OWE38" s="188"/>
      <c r="OWF38" s="188"/>
      <c r="OWG38" s="188"/>
      <c r="OWH38" s="188"/>
      <c r="OWI38" s="188"/>
      <c r="OWJ38" s="188"/>
      <c r="OWK38" s="188"/>
      <c r="OWL38" s="188"/>
      <c r="OWM38" s="188"/>
      <c r="OWN38" s="188"/>
      <c r="OWO38" s="188"/>
      <c r="OWP38" s="188"/>
      <c r="OWQ38" s="188"/>
      <c r="OWR38" s="188"/>
      <c r="OWU38" s="188"/>
      <c r="OWX38" s="188"/>
      <c r="OXA38" s="188"/>
      <c r="OXB38" s="188"/>
      <c r="OXC38" s="188"/>
      <c r="OXD38" s="188"/>
      <c r="OXE38" s="188"/>
      <c r="OXF38" s="188"/>
      <c r="OXG38" s="188"/>
      <c r="OXH38" s="188"/>
      <c r="OXI38" s="188"/>
      <c r="OXK38" s="188"/>
      <c r="OXL38" s="188"/>
      <c r="OXM38" s="188"/>
      <c r="OXN38" s="188"/>
      <c r="OXO38" s="188"/>
      <c r="OXP38" s="188"/>
      <c r="OXQ38" s="188"/>
      <c r="OXR38" s="188"/>
      <c r="OXS38" s="188"/>
      <c r="OXT38" s="188"/>
      <c r="OXU38" s="188"/>
      <c r="OXV38" s="188"/>
      <c r="OXW38" s="188"/>
      <c r="OXX38" s="188"/>
      <c r="OXY38" s="188"/>
      <c r="OXZ38" s="188"/>
      <c r="OYA38" s="188"/>
      <c r="OYB38" s="188"/>
      <c r="OYC38" s="188"/>
      <c r="OYD38" s="188"/>
      <c r="OYE38" s="188"/>
      <c r="OYF38" s="188"/>
      <c r="OYG38" s="188"/>
      <c r="OYH38" s="188"/>
      <c r="OYI38" s="188"/>
      <c r="OYJ38" s="188"/>
      <c r="OYK38" s="188"/>
      <c r="OYL38" s="188"/>
      <c r="OYM38" s="188"/>
      <c r="OYN38" s="188"/>
      <c r="OYO38" s="188"/>
      <c r="OYP38" s="188"/>
      <c r="OYQ38" s="188"/>
      <c r="OYR38" s="188"/>
      <c r="OYS38" s="188"/>
      <c r="OYT38" s="188"/>
      <c r="OYU38" s="188"/>
      <c r="OYV38" s="188"/>
      <c r="OYW38" s="188"/>
      <c r="OYX38" s="188"/>
      <c r="OYY38" s="188"/>
      <c r="OYZ38" s="188"/>
      <c r="OZA38" s="188"/>
      <c r="OZB38" s="188"/>
      <c r="OZC38" s="188"/>
      <c r="OZD38" s="188"/>
      <c r="OZE38" s="188"/>
      <c r="OZF38" s="188"/>
      <c r="OZG38" s="188"/>
      <c r="OZH38" s="188"/>
      <c r="OZI38" s="188"/>
      <c r="OZJ38" s="188"/>
      <c r="OZK38" s="188"/>
      <c r="OZL38" s="188"/>
      <c r="OZM38" s="188"/>
      <c r="OZN38" s="188"/>
      <c r="OZO38" s="188"/>
      <c r="OZP38" s="188"/>
      <c r="OZQ38" s="188"/>
      <c r="OZR38" s="188"/>
      <c r="OZS38" s="188"/>
      <c r="OZT38" s="188"/>
      <c r="OZU38" s="188"/>
      <c r="OZV38" s="188"/>
      <c r="OZW38" s="188"/>
      <c r="OZX38" s="188"/>
      <c r="OZY38" s="188"/>
      <c r="OZZ38" s="188"/>
      <c r="PAA38" s="188"/>
      <c r="PAB38" s="188"/>
      <c r="PAC38" s="188"/>
      <c r="PAD38" s="188"/>
      <c r="PAE38" s="188"/>
      <c r="PAF38" s="188"/>
      <c r="PAG38" s="188"/>
      <c r="PAH38" s="188"/>
      <c r="PAI38" s="188"/>
      <c r="PAJ38" s="188"/>
      <c r="PAK38" s="188"/>
      <c r="PAL38" s="188"/>
      <c r="PAM38" s="188"/>
      <c r="PAN38" s="188"/>
      <c r="PAO38" s="188"/>
      <c r="PAP38" s="188"/>
      <c r="PAQ38" s="188"/>
      <c r="PAR38" s="188"/>
      <c r="PAS38" s="188"/>
      <c r="PAT38" s="188"/>
      <c r="PAU38" s="188"/>
      <c r="PAV38" s="188"/>
      <c r="PAW38" s="188"/>
      <c r="PAX38" s="188"/>
      <c r="PAY38" s="188"/>
      <c r="PAZ38" s="188"/>
      <c r="PBA38" s="188"/>
      <c r="PBB38" s="188"/>
      <c r="PBC38" s="188"/>
      <c r="PBD38" s="188"/>
      <c r="PBE38" s="188"/>
      <c r="PBF38" s="188"/>
      <c r="PBG38" s="188"/>
      <c r="PBH38" s="188"/>
      <c r="PBI38" s="188"/>
      <c r="PBJ38" s="188"/>
      <c r="PBK38" s="188"/>
      <c r="PBL38" s="188"/>
      <c r="PBM38" s="188"/>
      <c r="PBN38" s="188"/>
      <c r="PBO38" s="188"/>
      <c r="PBP38" s="188"/>
      <c r="PBQ38" s="188"/>
      <c r="PBR38" s="188"/>
      <c r="PBS38" s="188"/>
      <c r="PBT38" s="188"/>
      <c r="PBU38" s="188"/>
      <c r="PBV38" s="188"/>
      <c r="PBW38" s="188"/>
      <c r="PBX38" s="188"/>
      <c r="PBY38" s="188"/>
      <c r="PBZ38" s="188"/>
      <c r="PCA38" s="188"/>
      <c r="PCB38" s="188"/>
      <c r="PCC38" s="188"/>
      <c r="PCD38" s="188"/>
      <c r="PCE38" s="188"/>
      <c r="PCF38" s="188"/>
      <c r="PCG38" s="188"/>
      <c r="PCH38" s="188"/>
      <c r="PCI38" s="188"/>
      <c r="PCJ38" s="188"/>
      <c r="PCK38" s="188"/>
      <c r="PCL38" s="188"/>
      <c r="PCM38" s="188"/>
      <c r="PCN38" s="188"/>
      <c r="PCO38" s="188"/>
      <c r="PCP38" s="188"/>
      <c r="PCQ38" s="188"/>
      <c r="PCR38" s="188"/>
      <c r="PCS38" s="188"/>
      <c r="PCT38" s="188"/>
      <c r="PCU38" s="188"/>
      <c r="PCV38" s="188"/>
      <c r="PCW38" s="188"/>
      <c r="PCX38" s="188"/>
      <c r="PCY38" s="188"/>
      <c r="PCZ38" s="188"/>
      <c r="PDA38" s="188"/>
      <c r="PDB38" s="188"/>
      <c r="PDC38" s="188"/>
      <c r="PDD38" s="188"/>
      <c r="PDE38" s="188"/>
      <c r="PDF38" s="188"/>
      <c r="PDG38" s="188"/>
      <c r="PDH38" s="188"/>
      <c r="PDI38" s="188"/>
      <c r="PDJ38" s="188"/>
      <c r="PDK38" s="188"/>
      <c r="PDL38" s="188"/>
      <c r="PDM38" s="188"/>
      <c r="PDN38" s="188"/>
      <c r="PDO38" s="188"/>
      <c r="PDP38" s="188"/>
      <c r="PDQ38" s="188"/>
      <c r="PDR38" s="188"/>
      <c r="PDS38" s="188"/>
      <c r="PDT38" s="188"/>
      <c r="PDU38" s="188"/>
      <c r="PDV38" s="188"/>
      <c r="PDW38" s="188"/>
      <c r="PDX38" s="188"/>
      <c r="PDY38" s="188"/>
      <c r="PDZ38" s="188"/>
      <c r="PEA38" s="188"/>
      <c r="PEB38" s="188"/>
      <c r="PEC38" s="188"/>
      <c r="PED38" s="188"/>
      <c r="PEE38" s="188"/>
      <c r="PEF38" s="188"/>
      <c r="PEG38" s="188"/>
      <c r="PEH38" s="188"/>
      <c r="PEI38" s="188"/>
      <c r="PEJ38" s="188"/>
      <c r="PEK38" s="188"/>
      <c r="PEL38" s="188"/>
      <c r="PEM38" s="188"/>
      <c r="PEN38" s="188"/>
      <c r="PEO38" s="188"/>
      <c r="PEP38" s="188"/>
      <c r="PEQ38" s="188"/>
      <c r="PER38" s="188"/>
      <c r="PES38" s="188"/>
      <c r="PET38" s="188"/>
      <c r="PEU38" s="188"/>
      <c r="PEV38" s="188"/>
      <c r="PEW38" s="188"/>
      <c r="PEX38" s="188"/>
      <c r="PEY38" s="188"/>
      <c r="PEZ38" s="188"/>
      <c r="PFA38" s="188"/>
      <c r="PFB38" s="188"/>
      <c r="PFC38" s="188"/>
      <c r="PFD38" s="188"/>
      <c r="PFE38" s="188"/>
      <c r="PFF38" s="188"/>
      <c r="PFG38" s="188"/>
      <c r="PFH38" s="188"/>
      <c r="PFI38" s="188"/>
      <c r="PFJ38" s="188"/>
      <c r="PFK38" s="188"/>
      <c r="PFL38" s="188"/>
      <c r="PFM38" s="188"/>
      <c r="PFN38" s="188"/>
      <c r="PFO38" s="188"/>
      <c r="PFP38" s="188"/>
      <c r="PFQ38" s="188"/>
      <c r="PFR38" s="188"/>
      <c r="PFS38" s="188"/>
      <c r="PFT38" s="188"/>
      <c r="PFU38" s="188"/>
      <c r="PFV38" s="188"/>
      <c r="PFW38" s="188"/>
      <c r="PFX38" s="188"/>
      <c r="PFY38" s="188"/>
      <c r="PFZ38" s="188"/>
      <c r="PGA38" s="188"/>
      <c r="PGB38" s="188"/>
      <c r="PGC38" s="188"/>
      <c r="PGD38" s="188"/>
      <c r="PGE38" s="188"/>
      <c r="PGF38" s="188"/>
      <c r="PGG38" s="188"/>
      <c r="PGH38" s="188"/>
      <c r="PGI38" s="188"/>
      <c r="PGJ38" s="188"/>
      <c r="PGK38" s="188"/>
      <c r="PGL38" s="188"/>
      <c r="PGM38" s="188"/>
      <c r="PGN38" s="188"/>
      <c r="PGQ38" s="188"/>
      <c r="PGT38" s="188"/>
      <c r="PGW38" s="188"/>
      <c r="PGX38" s="188"/>
      <c r="PGY38" s="188"/>
      <c r="PGZ38" s="188"/>
      <c r="PHA38" s="188"/>
      <c r="PHB38" s="188"/>
      <c r="PHC38" s="188"/>
      <c r="PHD38" s="188"/>
      <c r="PHE38" s="188"/>
      <c r="PHG38" s="188"/>
      <c r="PHH38" s="188"/>
      <c r="PHI38" s="188"/>
      <c r="PHJ38" s="188"/>
      <c r="PHK38" s="188"/>
      <c r="PHL38" s="188"/>
      <c r="PHM38" s="188"/>
      <c r="PHN38" s="188"/>
      <c r="PHO38" s="188"/>
      <c r="PHP38" s="188"/>
      <c r="PHQ38" s="188"/>
      <c r="PHR38" s="188"/>
      <c r="PHS38" s="188"/>
      <c r="PHT38" s="188"/>
      <c r="PHU38" s="188"/>
      <c r="PHV38" s="188"/>
      <c r="PHW38" s="188"/>
      <c r="PHX38" s="188"/>
      <c r="PHY38" s="188"/>
      <c r="PHZ38" s="188"/>
      <c r="PIA38" s="188"/>
      <c r="PIB38" s="188"/>
      <c r="PIC38" s="188"/>
      <c r="PID38" s="188"/>
      <c r="PIE38" s="188"/>
      <c r="PIF38" s="188"/>
      <c r="PIG38" s="188"/>
      <c r="PIH38" s="188"/>
      <c r="PII38" s="188"/>
      <c r="PIJ38" s="188"/>
      <c r="PIK38" s="188"/>
      <c r="PIL38" s="188"/>
      <c r="PIM38" s="188"/>
      <c r="PIN38" s="188"/>
      <c r="PIO38" s="188"/>
      <c r="PIP38" s="188"/>
      <c r="PIQ38" s="188"/>
      <c r="PIR38" s="188"/>
      <c r="PIS38" s="188"/>
      <c r="PIT38" s="188"/>
      <c r="PIU38" s="188"/>
      <c r="PIV38" s="188"/>
      <c r="PIW38" s="188"/>
      <c r="PIX38" s="188"/>
      <c r="PIY38" s="188"/>
      <c r="PIZ38" s="188"/>
      <c r="PJA38" s="188"/>
      <c r="PJB38" s="188"/>
      <c r="PJC38" s="188"/>
      <c r="PJD38" s="188"/>
      <c r="PJE38" s="188"/>
      <c r="PJF38" s="188"/>
      <c r="PJG38" s="188"/>
      <c r="PJH38" s="188"/>
      <c r="PJI38" s="188"/>
      <c r="PJJ38" s="188"/>
      <c r="PJK38" s="188"/>
      <c r="PJL38" s="188"/>
      <c r="PJM38" s="188"/>
      <c r="PJN38" s="188"/>
      <c r="PJO38" s="188"/>
      <c r="PJP38" s="188"/>
      <c r="PJQ38" s="188"/>
      <c r="PJR38" s="188"/>
      <c r="PJS38" s="188"/>
      <c r="PJT38" s="188"/>
      <c r="PJU38" s="188"/>
      <c r="PJV38" s="188"/>
      <c r="PJW38" s="188"/>
      <c r="PJX38" s="188"/>
      <c r="PJY38" s="188"/>
      <c r="PJZ38" s="188"/>
      <c r="PKA38" s="188"/>
      <c r="PKB38" s="188"/>
      <c r="PKC38" s="188"/>
      <c r="PKD38" s="188"/>
      <c r="PKE38" s="188"/>
      <c r="PKF38" s="188"/>
      <c r="PKG38" s="188"/>
      <c r="PKH38" s="188"/>
      <c r="PKI38" s="188"/>
      <c r="PKJ38" s="188"/>
      <c r="PKK38" s="188"/>
      <c r="PKL38" s="188"/>
      <c r="PKM38" s="188"/>
      <c r="PKN38" s="188"/>
      <c r="PKO38" s="188"/>
      <c r="PKP38" s="188"/>
      <c r="PKQ38" s="188"/>
      <c r="PKR38" s="188"/>
      <c r="PKS38" s="188"/>
      <c r="PKT38" s="188"/>
      <c r="PKU38" s="188"/>
      <c r="PKV38" s="188"/>
      <c r="PKW38" s="188"/>
      <c r="PKX38" s="188"/>
      <c r="PKY38" s="188"/>
      <c r="PKZ38" s="188"/>
      <c r="PLA38" s="188"/>
      <c r="PLB38" s="188"/>
      <c r="PLC38" s="188"/>
      <c r="PLD38" s="188"/>
      <c r="PLE38" s="188"/>
      <c r="PLF38" s="188"/>
      <c r="PLG38" s="188"/>
      <c r="PLH38" s="188"/>
      <c r="PLI38" s="188"/>
      <c r="PLJ38" s="188"/>
      <c r="PLK38" s="188"/>
      <c r="PLL38" s="188"/>
      <c r="PLM38" s="188"/>
      <c r="PLN38" s="188"/>
      <c r="PLO38" s="188"/>
      <c r="PLP38" s="188"/>
      <c r="PLQ38" s="188"/>
      <c r="PLR38" s="188"/>
      <c r="PLS38" s="188"/>
      <c r="PLT38" s="188"/>
      <c r="PLU38" s="188"/>
      <c r="PLV38" s="188"/>
      <c r="PLW38" s="188"/>
      <c r="PLX38" s="188"/>
      <c r="PLY38" s="188"/>
      <c r="PLZ38" s="188"/>
      <c r="PMA38" s="188"/>
      <c r="PMB38" s="188"/>
      <c r="PMC38" s="188"/>
      <c r="PMD38" s="188"/>
      <c r="PME38" s="188"/>
      <c r="PMF38" s="188"/>
      <c r="PMG38" s="188"/>
      <c r="PMH38" s="188"/>
      <c r="PMI38" s="188"/>
      <c r="PMJ38" s="188"/>
      <c r="PMK38" s="188"/>
      <c r="PML38" s="188"/>
      <c r="PMM38" s="188"/>
      <c r="PMN38" s="188"/>
      <c r="PMO38" s="188"/>
      <c r="PMP38" s="188"/>
      <c r="PMQ38" s="188"/>
      <c r="PMR38" s="188"/>
      <c r="PMS38" s="188"/>
      <c r="PMT38" s="188"/>
      <c r="PMU38" s="188"/>
      <c r="PMV38" s="188"/>
      <c r="PMW38" s="188"/>
      <c r="PMX38" s="188"/>
      <c r="PMY38" s="188"/>
      <c r="PMZ38" s="188"/>
      <c r="PNA38" s="188"/>
      <c r="PNB38" s="188"/>
      <c r="PNC38" s="188"/>
      <c r="PND38" s="188"/>
      <c r="PNE38" s="188"/>
      <c r="PNF38" s="188"/>
      <c r="PNG38" s="188"/>
      <c r="PNH38" s="188"/>
      <c r="PNI38" s="188"/>
      <c r="PNJ38" s="188"/>
      <c r="PNK38" s="188"/>
      <c r="PNL38" s="188"/>
      <c r="PNM38" s="188"/>
      <c r="PNN38" s="188"/>
      <c r="PNO38" s="188"/>
      <c r="PNP38" s="188"/>
      <c r="PNQ38" s="188"/>
      <c r="PNR38" s="188"/>
      <c r="PNS38" s="188"/>
      <c r="PNT38" s="188"/>
      <c r="PNU38" s="188"/>
      <c r="PNV38" s="188"/>
      <c r="PNW38" s="188"/>
      <c r="PNX38" s="188"/>
      <c r="PNY38" s="188"/>
      <c r="PNZ38" s="188"/>
      <c r="POA38" s="188"/>
      <c r="POB38" s="188"/>
      <c r="POC38" s="188"/>
      <c r="POD38" s="188"/>
      <c r="POE38" s="188"/>
      <c r="POF38" s="188"/>
      <c r="POG38" s="188"/>
      <c r="POH38" s="188"/>
      <c r="POI38" s="188"/>
      <c r="POJ38" s="188"/>
      <c r="POK38" s="188"/>
      <c r="POL38" s="188"/>
      <c r="POM38" s="188"/>
      <c r="PON38" s="188"/>
      <c r="POO38" s="188"/>
      <c r="POP38" s="188"/>
      <c r="POQ38" s="188"/>
      <c r="POR38" s="188"/>
      <c r="POS38" s="188"/>
      <c r="POT38" s="188"/>
      <c r="POU38" s="188"/>
      <c r="POV38" s="188"/>
      <c r="POW38" s="188"/>
      <c r="POX38" s="188"/>
      <c r="POY38" s="188"/>
      <c r="POZ38" s="188"/>
      <c r="PPA38" s="188"/>
      <c r="PPB38" s="188"/>
      <c r="PPC38" s="188"/>
      <c r="PPD38" s="188"/>
      <c r="PPE38" s="188"/>
      <c r="PPF38" s="188"/>
      <c r="PPG38" s="188"/>
      <c r="PPH38" s="188"/>
      <c r="PPI38" s="188"/>
      <c r="PPJ38" s="188"/>
      <c r="PPK38" s="188"/>
      <c r="PPL38" s="188"/>
      <c r="PPM38" s="188"/>
      <c r="PPN38" s="188"/>
      <c r="PPO38" s="188"/>
      <c r="PPP38" s="188"/>
      <c r="PPQ38" s="188"/>
      <c r="PPR38" s="188"/>
      <c r="PPS38" s="188"/>
      <c r="PPT38" s="188"/>
      <c r="PPU38" s="188"/>
      <c r="PPV38" s="188"/>
      <c r="PPW38" s="188"/>
      <c r="PPX38" s="188"/>
      <c r="PPY38" s="188"/>
      <c r="PPZ38" s="188"/>
      <c r="PQA38" s="188"/>
      <c r="PQB38" s="188"/>
      <c r="PQC38" s="188"/>
      <c r="PQD38" s="188"/>
      <c r="PQE38" s="188"/>
      <c r="PQF38" s="188"/>
      <c r="PQG38" s="188"/>
      <c r="PQH38" s="188"/>
      <c r="PQI38" s="188"/>
      <c r="PQJ38" s="188"/>
      <c r="PQM38" s="188"/>
      <c r="PQP38" s="188"/>
      <c r="PQS38" s="188"/>
      <c r="PQT38" s="188"/>
      <c r="PQU38" s="188"/>
      <c r="PQV38" s="188"/>
      <c r="PQW38" s="188"/>
      <c r="PQX38" s="188"/>
      <c r="PQY38" s="188"/>
      <c r="PQZ38" s="188"/>
      <c r="PRA38" s="188"/>
      <c r="PRC38" s="188"/>
      <c r="PRD38" s="188"/>
      <c r="PRE38" s="188"/>
      <c r="PRF38" s="188"/>
      <c r="PRG38" s="188"/>
      <c r="PRH38" s="188"/>
      <c r="PRI38" s="188"/>
      <c r="PRJ38" s="188"/>
      <c r="PRK38" s="188"/>
      <c r="PRL38" s="188"/>
      <c r="PRM38" s="188"/>
      <c r="PRN38" s="188"/>
      <c r="PRO38" s="188"/>
      <c r="PRP38" s="188"/>
      <c r="PRQ38" s="188"/>
      <c r="PRR38" s="188"/>
      <c r="PRS38" s="188"/>
      <c r="PRT38" s="188"/>
      <c r="PRU38" s="188"/>
      <c r="PRV38" s="188"/>
      <c r="PRW38" s="188"/>
      <c r="PRX38" s="188"/>
      <c r="PRY38" s="188"/>
      <c r="PRZ38" s="188"/>
      <c r="PSA38" s="188"/>
      <c r="PSB38" s="188"/>
      <c r="PSC38" s="188"/>
      <c r="PSD38" s="188"/>
      <c r="PSE38" s="188"/>
      <c r="PSF38" s="188"/>
      <c r="PSG38" s="188"/>
      <c r="PSH38" s="188"/>
      <c r="PSI38" s="188"/>
      <c r="PSJ38" s="188"/>
      <c r="PSK38" s="188"/>
      <c r="PSL38" s="188"/>
      <c r="PSM38" s="188"/>
      <c r="PSN38" s="188"/>
      <c r="PSO38" s="188"/>
      <c r="PSP38" s="188"/>
      <c r="PSQ38" s="188"/>
      <c r="PSR38" s="188"/>
      <c r="PSS38" s="188"/>
      <c r="PST38" s="188"/>
      <c r="PSU38" s="188"/>
      <c r="PSV38" s="188"/>
      <c r="PSW38" s="188"/>
      <c r="PSX38" s="188"/>
      <c r="PSY38" s="188"/>
      <c r="PSZ38" s="188"/>
      <c r="PTA38" s="188"/>
      <c r="PTB38" s="188"/>
      <c r="PTC38" s="188"/>
      <c r="PTD38" s="188"/>
      <c r="PTE38" s="188"/>
      <c r="PTF38" s="188"/>
      <c r="PTG38" s="188"/>
      <c r="PTH38" s="188"/>
      <c r="PTI38" s="188"/>
      <c r="PTJ38" s="188"/>
      <c r="PTK38" s="188"/>
      <c r="PTL38" s="188"/>
      <c r="PTM38" s="188"/>
      <c r="PTN38" s="188"/>
      <c r="PTO38" s="188"/>
      <c r="PTP38" s="188"/>
      <c r="PTQ38" s="188"/>
      <c r="PTR38" s="188"/>
      <c r="PTS38" s="188"/>
      <c r="PTT38" s="188"/>
      <c r="PTU38" s="188"/>
      <c r="PTV38" s="188"/>
      <c r="PTW38" s="188"/>
      <c r="PTX38" s="188"/>
      <c r="PTY38" s="188"/>
      <c r="PTZ38" s="188"/>
      <c r="PUA38" s="188"/>
      <c r="PUB38" s="188"/>
      <c r="PUC38" s="188"/>
      <c r="PUD38" s="188"/>
      <c r="PUE38" s="188"/>
      <c r="PUF38" s="188"/>
      <c r="PUG38" s="188"/>
      <c r="PUH38" s="188"/>
      <c r="PUI38" s="188"/>
      <c r="PUJ38" s="188"/>
      <c r="PUK38" s="188"/>
      <c r="PUL38" s="188"/>
      <c r="PUM38" s="188"/>
      <c r="PUN38" s="188"/>
      <c r="PUO38" s="188"/>
      <c r="PUP38" s="188"/>
      <c r="PUQ38" s="188"/>
      <c r="PUR38" s="188"/>
      <c r="PUS38" s="188"/>
      <c r="PUT38" s="188"/>
      <c r="PUU38" s="188"/>
      <c r="PUV38" s="188"/>
      <c r="PUW38" s="188"/>
      <c r="PUX38" s="188"/>
      <c r="PUY38" s="188"/>
      <c r="PUZ38" s="188"/>
      <c r="PVA38" s="188"/>
      <c r="PVB38" s="188"/>
      <c r="PVC38" s="188"/>
      <c r="PVD38" s="188"/>
      <c r="PVE38" s="188"/>
      <c r="PVF38" s="188"/>
      <c r="PVG38" s="188"/>
      <c r="PVH38" s="188"/>
      <c r="PVI38" s="188"/>
      <c r="PVJ38" s="188"/>
      <c r="PVK38" s="188"/>
      <c r="PVL38" s="188"/>
      <c r="PVM38" s="188"/>
      <c r="PVN38" s="188"/>
      <c r="PVO38" s="188"/>
      <c r="PVP38" s="188"/>
      <c r="PVQ38" s="188"/>
      <c r="PVR38" s="188"/>
      <c r="PVS38" s="188"/>
      <c r="PVT38" s="188"/>
      <c r="PVU38" s="188"/>
      <c r="PVV38" s="188"/>
      <c r="PVW38" s="188"/>
      <c r="PVX38" s="188"/>
      <c r="PVY38" s="188"/>
      <c r="PVZ38" s="188"/>
      <c r="PWA38" s="188"/>
      <c r="PWB38" s="188"/>
      <c r="PWC38" s="188"/>
      <c r="PWD38" s="188"/>
      <c r="PWE38" s="188"/>
      <c r="PWF38" s="188"/>
      <c r="PWG38" s="188"/>
      <c r="PWH38" s="188"/>
      <c r="PWI38" s="188"/>
      <c r="PWJ38" s="188"/>
      <c r="PWK38" s="188"/>
      <c r="PWL38" s="188"/>
      <c r="PWM38" s="188"/>
      <c r="PWN38" s="188"/>
      <c r="PWO38" s="188"/>
      <c r="PWP38" s="188"/>
      <c r="PWQ38" s="188"/>
      <c r="PWR38" s="188"/>
      <c r="PWS38" s="188"/>
      <c r="PWT38" s="188"/>
      <c r="PWU38" s="188"/>
      <c r="PWV38" s="188"/>
      <c r="PWW38" s="188"/>
      <c r="PWX38" s="188"/>
      <c r="PWY38" s="188"/>
      <c r="PWZ38" s="188"/>
      <c r="PXA38" s="188"/>
      <c r="PXB38" s="188"/>
      <c r="PXC38" s="188"/>
      <c r="PXD38" s="188"/>
      <c r="PXE38" s="188"/>
      <c r="PXF38" s="188"/>
      <c r="PXG38" s="188"/>
      <c r="PXH38" s="188"/>
      <c r="PXI38" s="188"/>
      <c r="PXJ38" s="188"/>
      <c r="PXK38" s="188"/>
      <c r="PXL38" s="188"/>
      <c r="PXM38" s="188"/>
      <c r="PXN38" s="188"/>
      <c r="PXO38" s="188"/>
      <c r="PXP38" s="188"/>
      <c r="PXQ38" s="188"/>
      <c r="PXR38" s="188"/>
      <c r="PXS38" s="188"/>
      <c r="PXT38" s="188"/>
      <c r="PXU38" s="188"/>
      <c r="PXV38" s="188"/>
      <c r="PXW38" s="188"/>
      <c r="PXX38" s="188"/>
      <c r="PXY38" s="188"/>
      <c r="PXZ38" s="188"/>
      <c r="PYA38" s="188"/>
      <c r="PYB38" s="188"/>
      <c r="PYC38" s="188"/>
      <c r="PYD38" s="188"/>
      <c r="PYE38" s="188"/>
      <c r="PYF38" s="188"/>
      <c r="PYG38" s="188"/>
      <c r="PYH38" s="188"/>
      <c r="PYI38" s="188"/>
      <c r="PYJ38" s="188"/>
      <c r="PYK38" s="188"/>
      <c r="PYL38" s="188"/>
      <c r="PYM38" s="188"/>
      <c r="PYN38" s="188"/>
      <c r="PYO38" s="188"/>
      <c r="PYP38" s="188"/>
      <c r="PYQ38" s="188"/>
      <c r="PYR38" s="188"/>
      <c r="PYS38" s="188"/>
      <c r="PYT38" s="188"/>
      <c r="PYU38" s="188"/>
      <c r="PYV38" s="188"/>
      <c r="PYW38" s="188"/>
      <c r="PYX38" s="188"/>
      <c r="PYY38" s="188"/>
      <c r="PYZ38" s="188"/>
      <c r="PZA38" s="188"/>
      <c r="PZB38" s="188"/>
      <c r="PZC38" s="188"/>
      <c r="PZD38" s="188"/>
      <c r="PZE38" s="188"/>
      <c r="PZF38" s="188"/>
      <c r="PZG38" s="188"/>
      <c r="PZH38" s="188"/>
      <c r="PZI38" s="188"/>
      <c r="PZJ38" s="188"/>
      <c r="PZK38" s="188"/>
      <c r="PZL38" s="188"/>
      <c r="PZM38" s="188"/>
      <c r="PZN38" s="188"/>
      <c r="PZO38" s="188"/>
      <c r="PZP38" s="188"/>
      <c r="PZQ38" s="188"/>
      <c r="PZR38" s="188"/>
      <c r="PZS38" s="188"/>
      <c r="PZT38" s="188"/>
      <c r="PZU38" s="188"/>
      <c r="PZV38" s="188"/>
      <c r="PZW38" s="188"/>
      <c r="PZX38" s="188"/>
      <c r="PZY38" s="188"/>
      <c r="PZZ38" s="188"/>
      <c r="QAA38" s="188"/>
      <c r="QAB38" s="188"/>
      <c r="QAC38" s="188"/>
      <c r="QAD38" s="188"/>
      <c r="QAE38" s="188"/>
      <c r="QAF38" s="188"/>
      <c r="QAI38" s="188"/>
      <c r="QAL38" s="188"/>
      <c r="QAO38" s="188"/>
      <c r="QAP38" s="188"/>
      <c r="QAQ38" s="188"/>
      <c r="QAR38" s="188"/>
      <c r="QAS38" s="188"/>
      <c r="QAT38" s="188"/>
      <c r="QAU38" s="188"/>
      <c r="QAV38" s="188"/>
      <c r="QAW38" s="188"/>
      <c r="QAY38" s="188"/>
      <c r="QAZ38" s="188"/>
      <c r="QBA38" s="188"/>
      <c r="QBB38" s="188"/>
      <c r="QBC38" s="188"/>
      <c r="QBD38" s="188"/>
      <c r="QBE38" s="188"/>
      <c r="QBF38" s="188"/>
      <c r="QBG38" s="188"/>
      <c r="QBH38" s="188"/>
      <c r="QBI38" s="188"/>
      <c r="QBJ38" s="188"/>
      <c r="QBK38" s="188"/>
      <c r="QBL38" s="188"/>
      <c r="QBM38" s="188"/>
      <c r="QBN38" s="188"/>
      <c r="QBO38" s="188"/>
      <c r="QBP38" s="188"/>
      <c r="QBQ38" s="188"/>
      <c r="QBR38" s="188"/>
      <c r="QBS38" s="188"/>
      <c r="QBT38" s="188"/>
      <c r="QBU38" s="188"/>
      <c r="QBV38" s="188"/>
      <c r="QBW38" s="188"/>
      <c r="QBX38" s="188"/>
      <c r="QBY38" s="188"/>
      <c r="QBZ38" s="188"/>
      <c r="QCA38" s="188"/>
      <c r="QCB38" s="188"/>
      <c r="QCC38" s="188"/>
      <c r="QCD38" s="188"/>
      <c r="QCE38" s="188"/>
      <c r="QCF38" s="188"/>
      <c r="QCG38" s="188"/>
      <c r="QCH38" s="188"/>
      <c r="QCI38" s="188"/>
      <c r="QCJ38" s="188"/>
      <c r="QCK38" s="188"/>
      <c r="QCL38" s="188"/>
      <c r="QCM38" s="188"/>
      <c r="QCN38" s="188"/>
      <c r="QCO38" s="188"/>
      <c r="QCP38" s="188"/>
      <c r="QCQ38" s="188"/>
      <c r="QCR38" s="188"/>
      <c r="QCS38" s="188"/>
      <c r="QCT38" s="188"/>
      <c r="QCU38" s="188"/>
      <c r="QCV38" s="188"/>
      <c r="QCW38" s="188"/>
      <c r="QCX38" s="188"/>
      <c r="QCY38" s="188"/>
      <c r="QCZ38" s="188"/>
      <c r="QDA38" s="188"/>
      <c r="QDB38" s="188"/>
      <c r="QDC38" s="188"/>
      <c r="QDD38" s="188"/>
      <c r="QDE38" s="188"/>
      <c r="QDF38" s="188"/>
      <c r="QDG38" s="188"/>
      <c r="QDH38" s="188"/>
      <c r="QDI38" s="188"/>
      <c r="QDJ38" s="188"/>
      <c r="QDK38" s="188"/>
      <c r="QDL38" s="188"/>
      <c r="QDM38" s="188"/>
      <c r="QDN38" s="188"/>
      <c r="QDO38" s="188"/>
      <c r="QDP38" s="188"/>
      <c r="QDQ38" s="188"/>
      <c r="QDR38" s="188"/>
      <c r="QDS38" s="188"/>
      <c r="QDT38" s="188"/>
      <c r="QDU38" s="188"/>
      <c r="QDV38" s="188"/>
      <c r="QDW38" s="188"/>
      <c r="QDX38" s="188"/>
      <c r="QDY38" s="188"/>
      <c r="QDZ38" s="188"/>
      <c r="QEA38" s="188"/>
      <c r="QEB38" s="188"/>
      <c r="QEC38" s="188"/>
      <c r="QED38" s="188"/>
      <c r="QEE38" s="188"/>
      <c r="QEF38" s="188"/>
      <c r="QEG38" s="188"/>
      <c r="QEH38" s="188"/>
      <c r="QEI38" s="188"/>
      <c r="QEJ38" s="188"/>
      <c r="QEK38" s="188"/>
      <c r="QEL38" s="188"/>
      <c r="QEM38" s="188"/>
      <c r="QEN38" s="188"/>
      <c r="QEO38" s="188"/>
      <c r="QEP38" s="188"/>
      <c r="QEQ38" s="188"/>
      <c r="QER38" s="188"/>
      <c r="QES38" s="188"/>
      <c r="QET38" s="188"/>
      <c r="QEU38" s="188"/>
      <c r="QEV38" s="188"/>
      <c r="QEW38" s="188"/>
      <c r="QEX38" s="188"/>
      <c r="QEY38" s="188"/>
      <c r="QEZ38" s="188"/>
      <c r="QFA38" s="188"/>
      <c r="QFB38" s="188"/>
      <c r="QFC38" s="188"/>
      <c r="QFD38" s="188"/>
      <c r="QFE38" s="188"/>
      <c r="QFF38" s="188"/>
      <c r="QFG38" s="188"/>
      <c r="QFH38" s="188"/>
      <c r="QFI38" s="188"/>
      <c r="QFJ38" s="188"/>
      <c r="QFK38" s="188"/>
      <c r="QFL38" s="188"/>
      <c r="QFM38" s="188"/>
      <c r="QFN38" s="188"/>
      <c r="QFO38" s="188"/>
      <c r="QFP38" s="188"/>
      <c r="QFQ38" s="188"/>
      <c r="QFR38" s="188"/>
      <c r="QFS38" s="188"/>
      <c r="QFT38" s="188"/>
      <c r="QFU38" s="188"/>
      <c r="QFV38" s="188"/>
      <c r="QFW38" s="188"/>
      <c r="QFX38" s="188"/>
      <c r="QFY38" s="188"/>
      <c r="QFZ38" s="188"/>
      <c r="QGA38" s="188"/>
      <c r="QGB38" s="188"/>
      <c r="QGC38" s="188"/>
      <c r="QGD38" s="188"/>
      <c r="QGE38" s="188"/>
      <c r="QGF38" s="188"/>
      <c r="QGG38" s="188"/>
      <c r="QGH38" s="188"/>
      <c r="QGI38" s="188"/>
      <c r="QGJ38" s="188"/>
      <c r="QGK38" s="188"/>
      <c r="QGL38" s="188"/>
      <c r="QGM38" s="188"/>
      <c r="QGN38" s="188"/>
      <c r="QGO38" s="188"/>
      <c r="QGP38" s="188"/>
      <c r="QGQ38" s="188"/>
      <c r="QGR38" s="188"/>
      <c r="QGS38" s="188"/>
      <c r="QGT38" s="188"/>
      <c r="QGU38" s="188"/>
      <c r="QGV38" s="188"/>
      <c r="QGW38" s="188"/>
      <c r="QGX38" s="188"/>
      <c r="QGY38" s="188"/>
      <c r="QGZ38" s="188"/>
      <c r="QHA38" s="188"/>
      <c r="QHB38" s="188"/>
      <c r="QHC38" s="188"/>
      <c r="QHD38" s="188"/>
      <c r="QHE38" s="188"/>
      <c r="QHF38" s="188"/>
      <c r="QHG38" s="188"/>
      <c r="QHH38" s="188"/>
      <c r="QHI38" s="188"/>
      <c r="QHJ38" s="188"/>
      <c r="QHK38" s="188"/>
      <c r="QHL38" s="188"/>
      <c r="QHM38" s="188"/>
      <c r="QHN38" s="188"/>
      <c r="QHO38" s="188"/>
      <c r="QHP38" s="188"/>
      <c r="QHQ38" s="188"/>
      <c r="QHR38" s="188"/>
      <c r="QHS38" s="188"/>
      <c r="QHT38" s="188"/>
      <c r="QHU38" s="188"/>
      <c r="QHV38" s="188"/>
      <c r="QHW38" s="188"/>
      <c r="QHX38" s="188"/>
      <c r="QHY38" s="188"/>
      <c r="QHZ38" s="188"/>
      <c r="QIA38" s="188"/>
      <c r="QIB38" s="188"/>
      <c r="QIC38" s="188"/>
      <c r="QID38" s="188"/>
      <c r="QIE38" s="188"/>
      <c r="QIF38" s="188"/>
      <c r="QIG38" s="188"/>
      <c r="QIH38" s="188"/>
      <c r="QII38" s="188"/>
      <c r="QIJ38" s="188"/>
      <c r="QIK38" s="188"/>
      <c r="QIL38" s="188"/>
      <c r="QIM38" s="188"/>
      <c r="QIN38" s="188"/>
      <c r="QIO38" s="188"/>
      <c r="QIP38" s="188"/>
      <c r="QIQ38" s="188"/>
      <c r="QIR38" s="188"/>
      <c r="QIS38" s="188"/>
      <c r="QIT38" s="188"/>
      <c r="QIU38" s="188"/>
      <c r="QIV38" s="188"/>
      <c r="QIW38" s="188"/>
      <c r="QIX38" s="188"/>
      <c r="QIY38" s="188"/>
      <c r="QIZ38" s="188"/>
      <c r="QJA38" s="188"/>
      <c r="QJB38" s="188"/>
      <c r="QJC38" s="188"/>
      <c r="QJD38" s="188"/>
      <c r="QJE38" s="188"/>
      <c r="QJF38" s="188"/>
      <c r="QJG38" s="188"/>
      <c r="QJH38" s="188"/>
      <c r="QJI38" s="188"/>
      <c r="QJJ38" s="188"/>
      <c r="QJK38" s="188"/>
      <c r="QJL38" s="188"/>
      <c r="QJM38" s="188"/>
      <c r="QJN38" s="188"/>
      <c r="QJO38" s="188"/>
      <c r="QJP38" s="188"/>
      <c r="QJQ38" s="188"/>
      <c r="QJR38" s="188"/>
      <c r="QJS38" s="188"/>
      <c r="QJT38" s="188"/>
      <c r="QJU38" s="188"/>
      <c r="QJV38" s="188"/>
      <c r="QJW38" s="188"/>
      <c r="QJX38" s="188"/>
      <c r="QJY38" s="188"/>
      <c r="QJZ38" s="188"/>
      <c r="QKA38" s="188"/>
      <c r="QKB38" s="188"/>
      <c r="QKE38" s="188"/>
      <c r="QKH38" s="188"/>
      <c r="QKK38" s="188"/>
      <c r="QKL38" s="188"/>
      <c r="QKM38" s="188"/>
      <c r="QKN38" s="188"/>
      <c r="QKO38" s="188"/>
      <c r="QKP38" s="188"/>
      <c r="QKQ38" s="188"/>
      <c r="QKR38" s="188"/>
      <c r="QKS38" s="188"/>
      <c r="QKU38" s="188"/>
      <c r="QKV38" s="188"/>
      <c r="QKW38" s="188"/>
      <c r="QKX38" s="188"/>
      <c r="QKY38" s="188"/>
      <c r="QKZ38" s="188"/>
      <c r="QLA38" s="188"/>
      <c r="QLB38" s="188"/>
      <c r="QLC38" s="188"/>
      <c r="QLD38" s="188"/>
      <c r="QLE38" s="188"/>
      <c r="QLF38" s="188"/>
      <c r="QLG38" s="188"/>
      <c r="QLH38" s="188"/>
      <c r="QLI38" s="188"/>
      <c r="QLJ38" s="188"/>
      <c r="QLK38" s="188"/>
      <c r="QLL38" s="188"/>
      <c r="QLM38" s="188"/>
      <c r="QLN38" s="188"/>
      <c r="QLO38" s="188"/>
      <c r="QLP38" s="188"/>
      <c r="QLQ38" s="188"/>
      <c r="QLR38" s="188"/>
      <c r="QLS38" s="188"/>
      <c r="QLT38" s="188"/>
      <c r="QLU38" s="188"/>
      <c r="QLV38" s="188"/>
      <c r="QLW38" s="188"/>
      <c r="QLX38" s="188"/>
      <c r="QLY38" s="188"/>
      <c r="QLZ38" s="188"/>
      <c r="QMA38" s="188"/>
      <c r="QMB38" s="188"/>
      <c r="QMC38" s="188"/>
      <c r="QMD38" s="188"/>
      <c r="QME38" s="188"/>
      <c r="QMF38" s="188"/>
      <c r="QMG38" s="188"/>
      <c r="QMH38" s="188"/>
      <c r="QMI38" s="188"/>
      <c r="QMJ38" s="188"/>
      <c r="QMK38" s="188"/>
      <c r="QML38" s="188"/>
      <c r="QMM38" s="188"/>
      <c r="QMN38" s="188"/>
      <c r="QMO38" s="188"/>
      <c r="QMP38" s="188"/>
      <c r="QMQ38" s="188"/>
      <c r="QMR38" s="188"/>
      <c r="QMS38" s="188"/>
      <c r="QMT38" s="188"/>
      <c r="QMU38" s="188"/>
      <c r="QMV38" s="188"/>
      <c r="QMW38" s="188"/>
      <c r="QMX38" s="188"/>
      <c r="QMY38" s="188"/>
      <c r="QMZ38" s="188"/>
      <c r="QNA38" s="188"/>
      <c r="QNB38" s="188"/>
      <c r="QNC38" s="188"/>
      <c r="QND38" s="188"/>
      <c r="QNE38" s="188"/>
      <c r="QNF38" s="188"/>
      <c r="QNG38" s="188"/>
      <c r="QNH38" s="188"/>
      <c r="QNI38" s="188"/>
      <c r="QNJ38" s="188"/>
      <c r="QNK38" s="188"/>
      <c r="QNL38" s="188"/>
      <c r="QNM38" s="188"/>
      <c r="QNN38" s="188"/>
      <c r="QNO38" s="188"/>
      <c r="QNP38" s="188"/>
      <c r="QNQ38" s="188"/>
      <c r="QNR38" s="188"/>
      <c r="QNS38" s="188"/>
      <c r="QNT38" s="188"/>
      <c r="QNU38" s="188"/>
      <c r="QNV38" s="188"/>
      <c r="QNW38" s="188"/>
      <c r="QNX38" s="188"/>
      <c r="QNY38" s="188"/>
      <c r="QNZ38" s="188"/>
      <c r="QOA38" s="188"/>
      <c r="QOB38" s="188"/>
      <c r="QOC38" s="188"/>
      <c r="QOD38" s="188"/>
      <c r="QOE38" s="188"/>
      <c r="QOF38" s="188"/>
      <c r="QOG38" s="188"/>
      <c r="QOH38" s="188"/>
      <c r="QOI38" s="188"/>
      <c r="QOJ38" s="188"/>
      <c r="QOK38" s="188"/>
      <c r="QOL38" s="188"/>
      <c r="QOM38" s="188"/>
      <c r="QON38" s="188"/>
      <c r="QOO38" s="188"/>
      <c r="QOP38" s="188"/>
      <c r="QOQ38" s="188"/>
      <c r="QOR38" s="188"/>
      <c r="QOS38" s="188"/>
      <c r="QOT38" s="188"/>
      <c r="QOU38" s="188"/>
      <c r="QOV38" s="188"/>
      <c r="QOW38" s="188"/>
      <c r="QOX38" s="188"/>
      <c r="QOY38" s="188"/>
      <c r="QOZ38" s="188"/>
      <c r="QPA38" s="188"/>
      <c r="QPB38" s="188"/>
      <c r="QPC38" s="188"/>
      <c r="QPD38" s="188"/>
      <c r="QPE38" s="188"/>
      <c r="QPF38" s="188"/>
      <c r="QPG38" s="188"/>
      <c r="QPH38" s="188"/>
      <c r="QPI38" s="188"/>
      <c r="QPJ38" s="188"/>
      <c r="QPK38" s="188"/>
      <c r="QPL38" s="188"/>
      <c r="QPM38" s="188"/>
      <c r="QPN38" s="188"/>
      <c r="QPO38" s="188"/>
      <c r="QPP38" s="188"/>
      <c r="QPQ38" s="188"/>
      <c r="QPR38" s="188"/>
      <c r="QPS38" s="188"/>
      <c r="QPT38" s="188"/>
      <c r="QPU38" s="188"/>
      <c r="QPV38" s="188"/>
      <c r="QPW38" s="188"/>
      <c r="QPX38" s="188"/>
      <c r="QPY38" s="188"/>
      <c r="QPZ38" s="188"/>
      <c r="QQA38" s="188"/>
      <c r="QQB38" s="188"/>
      <c r="QQC38" s="188"/>
      <c r="QQD38" s="188"/>
      <c r="QQE38" s="188"/>
      <c r="QQF38" s="188"/>
      <c r="QQG38" s="188"/>
      <c r="QQH38" s="188"/>
      <c r="QQI38" s="188"/>
      <c r="QQJ38" s="188"/>
      <c r="QQK38" s="188"/>
      <c r="QQL38" s="188"/>
      <c r="QQM38" s="188"/>
      <c r="QQN38" s="188"/>
      <c r="QQO38" s="188"/>
      <c r="QQP38" s="188"/>
      <c r="QQQ38" s="188"/>
      <c r="QQR38" s="188"/>
      <c r="QQS38" s="188"/>
      <c r="QQT38" s="188"/>
      <c r="QQU38" s="188"/>
      <c r="QQV38" s="188"/>
      <c r="QQW38" s="188"/>
      <c r="QQX38" s="188"/>
      <c r="QQY38" s="188"/>
      <c r="QQZ38" s="188"/>
      <c r="QRA38" s="188"/>
      <c r="QRB38" s="188"/>
      <c r="QRC38" s="188"/>
      <c r="QRD38" s="188"/>
      <c r="QRE38" s="188"/>
      <c r="QRF38" s="188"/>
      <c r="QRG38" s="188"/>
      <c r="QRH38" s="188"/>
      <c r="QRI38" s="188"/>
      <c r="QRJ38" s="188"/>
      <c r="QRK38" s="188"/>
      <c r="QRL38" s="188"/>
      <c r="QRM38" s="188"/>
      <c r="QRN38" s="188"/>
      <c r="QRO38" s="188"/>
      <c r="QRP38" s="188"/>
      <c r="QRQ38" s="188"/>
      <c r="QRR38" s="188"/>
      <c r="QRS38" s="188"/>
      <c r="QRT38" s="188"/>
      <c r="QRU38" s="188"/>
      <c r="QRV38" s="188"/>
      <c r="QRW38" s="188"/>
      <c r="QRX38" s="188"/>
      <c r="QRY38" s="188"/>
      <c r="QRZ38" s="188"/>
      <c r="QSA38" s="188"/>
      <c r="QSB38" s="188"/>
      <c r="QSC38" s="188"/>
      <c r="QSD38" s="188"/>
      <c r="QSE38" s="188"/>
      <c r="QSF38" s="188"/>
      <c r="QSG38" s="188"/>
      <c r="QSH38" s="188"/>
      <c r="QSI38" s="188"/>
      <c r="QSJ38" s="188"/>
      <c r="QSK38" s="188"/>
      <c r="QSL38" s="188"/>
      <c r="QSM38" s="188"/>
      <c r="QSN38" s="188"/>
      <c r="QSO38" s="188"/>
      <c r="QSP38" s="188"/>
      <c r="QSQ38" s="188"/>
      <c r="QSR38" s="188"/>
      <c r="QSS38" s="188"/>
      <c r="QST38" s="188"/>
      <c r="QSU38" s="188"/>
      <c r="QSV38" s="188"/>
      <c r="QSW38" s="188"/>
      <c r="QSX38" s="188"/>
      <c r="QSY38" s="188"/>
      <c r="QSZ38" s="188"/>
      <c r="QTA38" s="188"/>
      <c r="QTB38" s="188"/>
      <c r="QTC38" s="188"/>
      <c r="QTD38" s="188"/>
      <c r="QTE38" s="188"/>
      <c r="QTF38" s="188"/>
      <c r="QTG38" s="188"/>
      <c r="QTH38" s="188"/>
      <c r="QTI38" s="188"/>
      <c r="QTJ38" s="188"/>
      <c r="QTK38" s="188"/>
      <c r="QTL38" s="188"/>
      <c r="QTM38" s="188"/>
      <c r="QTN38" s="188"/>
      <c r="QTO38" s="188"/>
      <c r="QTP38" s="188"/>
      <c r="QTQ38" s="188"/>
      <c r="QTR38" s="188"/>
      <c r="QTS38" s="188"/>
      <c r="QTT38" s="188"/>
      <c r="QTU38" s="188"/>
      <c r="QTV38" s="188"/>
      <c r="QTW38" s="188"/>
      <c r="QTX38" s="188"/>
      <c r="QUA38" s="188"/>
      <c r="QUD38" s="188"/>
      <c r="QUG38" s="188"/>
      <c r="QUH38" s="188"/>
      <c r="QUI38" s="188"/>
      <c r="QUJ38" s="188"/>
      <c r="QUK38" s="188"/>
      <c r="QUL38" s="188"/>
      <c r="QUM38" s="188"/>
      <c r="QUN38" s="188"/>
      <c r="QUO38" s="188"/>
      <c r="QUQ38" s="188"/>
      <c r="QUR38" s="188"/>
      <c r="QUS38" s="188"/>
      <c r="QUT38" s="188"/>
      <c r="QUU38" s="188"/>
      <c r="QUV38" s="188"/>
      <c r="QUW38" s="188"/>
      <c r="QUX38" s="188"/>
      <c r="QUY38" s="188"/>
      <c r="QUZ38" s="188"/>
      <c r="QVA38" s="188"/>
      <c r="QVB38" s="188"/>
      <c r="QVC38" s="188"/>
      <c r="QVD38" s="188"/>
      <c r="QVE38" s="188"/>
      <c r="QVF38" s="188"/>
      <c r="QVG38" s="188"/>
      <c r="QVH38" s="188"/>
      <c r="QVI38" s="188"/>
      <c r="QVJ38" s="188"/>
      <c r="QVK38" s="188"/>
      <c r="QVL38" s="188"/>
      <c r="QVM38" s="188"/>
      <c r="QVN38" s="188"/>
      <c r="QVO38" s="188"/>
      <c r="QVP38" s="188"/>
      <c r="QVQ38" s="188"/>
      <c r="QVR38" s="188"/>
      <c r="QVS38" s="188"/>
      <c r="QVT38" s="188"/>
      <c r="QVU38" s="188"/>
      <c r="QVV38" s="188"/>
      <c r="QVW38" s="188"/>
      <c r="QVX38" s="188"/>
      <c r="QVY38" s="188"/>
      <c r="QVZ38" s="188"/>
      <c r="QWA38" s="188"/>
      <c r="QWB38" s="188"/>
      <c r="QWC38" s="188"/>
      <c r="QWD38" s="188"/>
      <c r="QWE38" s="188"/>
      <c r="QWF38" s="188"/>
      <c r="QWG38" s="188"/>
      <c r="QWH38" s="188"/>
      <c r="QWI38" s="188"/>
      <c r="QWJ38" s="188"/>
      <c r="QWK38" s="188"/>
      <c r="QWL38" s="188"/>
      <c r="QWM38" s="188"/>
      <c r="QWN38" s="188"/>
      <c r="QWO38" s="188"/>
      <c r="QWP38" s="188"/>
      <c r="QWQ38" s="188"/>
      <c r="QWR38" s="188"/>
      <c r="QWS38" s="188"/>
      <c r="QWT38" s="188"/>
      <c r="QWU38" s="188"/>
      <c r="QWV38" s="188"/>
      <c r="QWW38" s="188"/>
      <c r="QWX38" s="188"/>
      <c r="QWY38" s="188"/>
      <c r="QWZ38" s="188"/>
      <c r="QXA38" s="188"/>
      <c r="QXB38" s="188"/>
      <c r="QXC38" s="188"/>
      <c r="QXD38" s="188"/>
      <c r="QXE38" s="188"/>
      <c r="QXF38" s="188"/>
      <c r="QXG38" s="188"/>
      <c r="QXH38" s="188"/>
      <c r="QXI38" s="188"/>
      <c r="QXJ38" s="188"/>
      <c r="QXK38" s="188"/>
      <c r="QXL38" s="188"/>
      <c r="QXM38" s="188"/>
      <c r="QXN38" s="188"/>
      <c r="QXO38" s="188"/>
      <c r="QXP38" s="188"/>
      <c r="QXQ38" s="188"/>
      <c r="QXR38" s="188"/>
      <c r="QXS38" s="188"/>
      <c r="QXT38" s="188"/>
      <c r="QXU38" s="188"/>
      <c r="QXV38" s="188"/>
      <c r="QXW38" s="188"/>
      <c r="QXX38" s="188"/>
      <c r="QXY38" s="188"/>
      <c r="QXZ38" s="188"/>
      <c r="QYA38" s="188"/>
      <c r="QYB38" s="188"/>
      <c r="QYC38" s="188"/>
      <c r="QYD38" s="188"/>
      <c r="QYE38" s="188"/>
      <c r="QYF38" s="188"/>
      <c r="QYG38" s="188"/>
      <c r="QYH38" s="188"/>
      <c r="QYI38" s="188"/>
      <c r="QYJ38" s="188"/>
      <c r="QYK38" s="188"/>
      <c r="QYL38" s="188"/>
      <c r="QYM38" s="188"/>
      <c r="QYN38" s="188"/>
      <c r="QYO38" s="188"/>
      <c r="QYP38" s="188"/>
      <c r="QYQ38" s="188"/>
      <c r="QYR38" s="188"/>
      <c r="QYS38" s="188"/>
      <c r="QYT38" s="188"/>
      <c r="QYU38" s="188"/>
      <c r="QYV38" s="188"/>
      <c r="QYW38" s="188"/>
      <c r="QYX38" s="188"/>
      <c r="QYY38" s="188"/>
      <c r="QYZ38" s="188"/>
      <c r="QZA38" s="188"/>
      <c r="QZB38" s="188"/>
      <c r="QZC38" s="188"/>
      <c r="QZD38" s="188"/>
      <c r="QZE38" s="188"/>
      <c r="QZF38" s="188"/>
      <c r="QZG38" s="188"/>
      <c r="QZH38" s="188"/>
      <c r="QZI38" s="188"/>
      <c r="QZJ38" s="188"/>
      <c r="QZK38" s="188"/>
      <c r="QZL38" s="188"/>
      <c r="QZM38" s="188"/>
      <c r="QZN38" s="188"/>
      <c r="QZO38" s="188"/>
      <c r="QZP38" s="188"/>
      <c r="QZQ38" s="188"/>
      <c r="QZR38" s="188"/>
      <c r="QZS38" s="188"/>
      <c r="QZT38" s="188"/>
      <c r="QZU38" s="188"/>
      <c r="QZV38" s="188"/>
      <c r="QZW38" s="188"/>
      <c r="QZX38" s="188"/>
      <c r="QZY38" s="188"/>
      <c r="QZZ38" s="188"/>
      <c r="RAA38" s="188"/>
      <c r="RAB38" s="188"/>
      <c r="RAC38" s="188"/>
      <c r="RAD38" s="188"/>
      <c r="RAE38" s="188"/>
      <c r="RAF38" s="188"/>
      <c r="RAG38" s="188"/>
      <c r="RAH38" s="188"/>
      <c r="RAI38" s="188"/>
      <c r="RAJ38" s="188"/>
      <c r="RAK38" s="188"/>
      <c r="RAL38" s="188"/>
      <c r="RAM38" s="188"/>
      <c r="RAN38" s="188"/>
      <c r="RAO38" s="188"/>
      <c r="RAP38" s="188"/>
      <c r="RAQ38" s="188"/>
      <c r="RAR38" s="188"/>
      <c r="RAS38" s="188"/>
      <c r="RAT38" s="188"/>
      <c r="RAU38" s="188"/>
      <c r="RAV38" s="188"/>
      <c r="RAW38" s="188"/>
      <c r="RAX38" s="188"/>
      <c r="RAY38" s="188"/>
      <c r="RAZ38" s="188"/>
      <c r="RBA38" s="188"/>
      <c r="RBB38" s="188"/>
      <c r="RBC38" s="188"/>
      <c r="RBD38" s="188"/>
      <c r="RBE38" s="188"/>
      <c r="RBF38" s="188"/>
      <c r="RBG38" s="188"/>
      <c r="RBH38" s="188"/>
      <c r="RBI38" s="188"/>
      <c r="RBJ38" s="188"/>
      <c r="RBK38" s="188"/>
      <c r="RBL38" s="188"/>
      <c r="RBM38" s="188"/>
      <c r="RBN38" s="188"/>
      <c r="RBO38" s="188"/>
      <c r="RBP38" s="188"/>
      <c r="RBQ38" s="188"/>
      <c r="RBR38" s="188"/>
      <c r="RBS38" s="188"/>
      <c r="RBT38" s="188"/>
      <c r="RBU38" s="188"/>
      <c r="RBV38" s="188"/>
      <c r="RBW38" s="188"/>
      <c r="RBX38" s="188"/>
      <c r="RBY38" s="188"/>
      <c r="RBZ38" s="188"/>
      <c r="RCA38" s="188"/>
      <c r="RCB38" s="188"/>
      <c r="RCC38" s="188"/>
      <c r="RCD38" s="188"/>
      <c r="RCE38" s="188"/>
      <c r="RCF38" s="188"/>
      <c r="RCG38" s="188"/>
      <c r="RCH38" s="188"/>
      <c r="RCI38" s="188"/>
      <c r="RCJ38" s="188"/>
      <c r="RCK38" s="188"/>
      <c r="RCL38" s="188"/>
      <c r="RCM38" s="188"/>
      <c r="RCN38" s="188"/>
      <c r="RCO38" s="188"/>
      <c r="RCP38" s="188"/>
      <c r="RCQ38" s="188"/>
      <c r="RCR38" s="188"/>
      <c r="RCS38" s="188"/>
      <c r="RCT38" s="188"/>
      <c r="RCU38" s="188"/>
      <c r="RCV38" s="188"/>
      <c r="RCW38" s="188"/>
      <c r="RCX38" s="188"/>
      <c r="RCY38" s="188"/>
      <c r="RCZ38" s="188"/>
      <c r="RDA38" s="188"/>
      <c r="RDB38" s="188"/>
      <c r="RDC38" s="188"/>
      <c r="RDD38" s="188"/>
      <c r="RDE38" s="188"/>
      <c r="RDF38" s="188"/>
      <c r="RDG38" s="188"/>
      <c r="RDH38" s="188"/>
      <c r="RDI38" s="188"/>
      <c r="RDJ38" s="188"/>
      <c r="RDK38" s="188"/>
      <c r="RDL38" s="188"/>
      <c r="RDM38" s="188"/>
      <c r="RDN38" s="188"/>
      <c r="RDO38" s="188"/>
      <c r="RDP38" s="188"/>
      <c r="RDQ38" s="188"/>
      <c r="RDR38" s="188"/>
      <c r="RDS38" s="188"/>
      <c r="RDT38" s="188"/>
      <c r="RDW38" s="188"/>
      <c r="RDZ38" s="188"/>
      <c r="REC38" s="188"/>
      <c r="RED38" s="188"/>
      <c r="REE38" s="188"/>
      <c r="REF38" s="188"/>
      <c r="REG38" s="188"/>
      <c r="REH38" s="188"/>
      <c r="REI38" s="188"/>
      <c r="REJ38" s="188"/>
      <c r="REK38" s="188"/>
      <c r="REM38" s="188"/>
      <c r="REN38" s="188"/>
      <c r="REO38" s="188"/>
      <c r="REP38" s="188"/>
      <c r="REQ38" s="188"/>
      <c r="RER38" s="188"/>
      <c r="RES38" s="188"/>
      <c r="RET38" s="188"/>
      <c r="REU38" s="188"/>
      <c r="REV38" s="188"/>
      <c r="REW38" s="188"/>
      <c r="REX38" s="188"/>
      <c r="REY38" s="188"/>
      <c r="REZ38" s="188"/>
      <c r="RFA38" s="188"/>
      <c r="RFB38" s="188"/>
      <c r="RFC38" s="188"/>
      <c r="RFD38" s="188"/>
      <c r="RFE38" s="188"/>
      <c r="RFF38" s="188"/>
      <c r="RFG38" s="188"/>
      <c r="RFH38" s="188"/>
      <c r="RFI38" s="188"/>
      <c r="RFJ38" s="188"/>
      <c r="RFK38" s="188"/>
      <c r="RFL38" s="188"/>
      <c r="RFM38" s="188"/>
      <c r="RFN38" s="188"/>
      <c r="RFO38" s="188"/>
      <c r="RFP38" s="188"/>
      <c r="RFQ38" s="188"/>
      <c r="RFR38" s="188"/>
      <c r="RFS38" s="188"/>
      <c r="RFT38" s="188"/>
      <c r="RFU38" s="188"/>
      <c r="RFV38" s="188"/>
      <c r="RFW38" s="188"/>
      <c r="RFX38" s="188"/>
      <c r="RFY38" s="188"/>
      <c r="RFZ38" s="188"/>
      <c r="RGA38" s="188"/>
      <c r="RGB38" s="188"/>
      <c r="RGC38" s="188"/>
      <c r="RGD38" s="188"/>
      <c r="RGE38" s="188"/>
      <c r="RGF38" s="188"/>
      <c r="RGG38" s="188"/>
      <c r="RGH38" s="188"/>
      <c r="RGI38" s="188"/>
      <c r="RGJ38" s="188"/>
      <c r="RGK38" s="188"/>
      <c r="RGL38" s="188"/>
      <c r="RGM38" s="188"/>
      <c r="RGN38" s="188"/>
      <c r="RGO38" s="188"/>
      <c r="RGP38" s="188"/>
      <c r="RGQ38" s="188"/>
      <c r="RGR38" s="188"/>
      <c r="RGS38" s="188"/>
      <c r="RGT38" s="188"/>
      <c r="RGU38" s="188"/>
      <c r="RGV38" s="188"/>
      <c r="RGW38" s="188"/>
      <c r="RGX38" s="188"/>
      <c r="RGY38" s="188"/>
      <c r="RGZ38" s="188"/>
      <c r="RHA38" s="188"/>
      <c r="RHB38" s="188"/>
      <c r="RHC38" s="188"/>
      <c r="RHD38" s="188"/>
      <c r="RHE38" s="188"/>
      <c r="RHF38" s="188"/>
      <c r="RHG38" s="188"/>
      <c r="RHH38" s="188"/>
      <c r="RHI38" s="188"/>
      <c r="RHJ38" s="188"/>
      <c r="RHK38" s="188"/>
      <c r="RHL38" s="188"/>
      <c r="RHM38" s="188"/>
      <c r="RHN38" s="188"/>
      <c r="RHO38" s="188"/>
      <c r="RHP38" s="188"/>
      <c r="RHQ38" s="188"/>
      <c r="RHR38" s="188"/>
      <c r="RHS38" s="188"/>
      <c r="RHT38" s="188"/>
      <c r="RHU38" s="188"/>
      <c r="RHV38" s="188"/>
      <c r="RHW38" s="188"/>
      <c r="RHX38" s="188"/>
      <c r="RHY38" s="188"/>
      <c r="RHZ38" s="188"/>
      <c r="RIA38" s="188"/>
      <c r="RIB38" s="188"/>
      <c r="RIC38" s="188"/>
      <c r="RID38" s="188"/>
      <c r="RIE38" s="188"/>
      <c r="RIF38" s="188"/>
      <c r="RIG38" s="188"/>
      <c r="RIH38" s="188"/>
      <c r="RII38" s="188"/>
      <c r="RIJ38" s="188"/>
      <c r="RIK38" s="188"/>
      <c r="RIL38" s="188"/>
      <c r="RIM38" s="188"/>
      <c r="RIN38" s="188"/>
      <c r="RIO38" s="188"/>
      <c r="RIP38" s="188"/>
      <c r="RIQ38" s="188"/>
      <c r="RIR38" s="188"/>
      <c r="RIS38" s="188"/>
      <c r="RIT38" s="188"/>
      <c r="RIU38" s="188"/>
      <c r="RIV38" s="188"/>
      <c r="RIW38" s="188"/>
      <c r="RIX38" s="188"/>
      <c r="RIY38" s="188"/>
      <c r="RIZ38" s="188"/>
      <c r="RJA38" s="188"/>
      <c r="RJB38" s="188"/>
      <c r="RJC38" s="188"/>
      <c r="RJD38" s="188"/>
      <c r="RJE38" s="188"/>
      <c r="RJF38" s="188"/>
      <c r="RJG38" s="188"/>
      <c r="RJH38" s="188"/>
      <c r="RJI38" s="188"/>
      <c r="RJJ38" s="188"/>
      <c r="RJK38" s="188"/>
      <c r="RJL38" s="188"/>
      <c r="RJM38" s="188"/>
      <c r="RJN38" s="188"/>
      <c r="RJO38" s="188"/>
      <c r="RJP38" s="188"/>
      <c r="RJQ38" s="188"/>
      <c r="RJR38" s="188"/>
      <c r="RJS38" s="188"/>
      <c r="RJT38" s="188"/>
      <c r="RJU38" s="188"/>
      <c r="RJV38" s="188"/>
      <c r="RJW38" s="188"/>
      <c r="RJX38" s="188"/>
      <c r="RJY38" s="188"/>
      <c r="RJZ38" s="188"/>
      <c r="RKA38" s="188"/>
      <c r="RKB38" s="188"/>
      <c r="RKC38" s="188"/>
      <c r="RKD38" s="188"/>
      <c r="RKE38" s="188"/>
      <c r="RKF38" s="188"/>
      <c r="RKG38" s="188"/>
      <c r="RKH38" s="188"/>
      <c r="RKI38" s="188"/>
      <c r="RKJ38" s="188"/>
      <c r="RKK38" s="188"/>
      <c r="RKL38" s="188"/>
      <c r="RKM38" s="188"/>
      <c r="RKN38" s="188"/>
      <c r="RKO38" s="188"/>
      <c r="RKP38" s="188"/>
      <c r="RKQ38" s="188"/>
      <c r="RKR38" s="188"/>
      <c r="RKS38" s="188"/>
      <c r="RKT38" s="188"/>
      <c r="RKU38" s="188"/>
      <c r="RKV38" s="188"/>
      <c r="RKW38" s="188"/>
      <c r="RKX38" s="188"/>
      <c r="RKY38" s="188"/>
      <c r="RKZ38" s="188"/>
      <c r="RLA38" s="188"/>
      <c r="RLB38" s="188"/>
      <c r="RLC38" s="188"/>
      <c r="RLD38" s="188"/>
      <c r="RLE38" s="188"/>
      <c r="RLF38" s="188"/>
      <c r="RLG38" s="188"/>
      <c r="RLH38" s="188"/>
      <c r="RLI38" s="188"/>
      <c r="RLJ38" s="188"/>
      <c r="RLK38" s="188"/>
      <c r="RLL38" s="188"/>
      <c r="RLM38" s="188"/>
      <c r="RLN38" s="188"/>
      <c r="RLO38" s="188"/>
      <c r="RLP38" s="188"/>
      <c r="RLQ38" s="188"/>
      <c r="RLR38" s="188"/>
      <c r="RLS38" s="188"/>
      <c r="RLT38" s="188"/>
      <c r="RLU38" s="188"/>
      <c r="RLV38" s="188"/>
      <c r="RLW38" s="188"/>
      <c r="RLX38" s="188"/>
      <c r="RLY38" s="188"/>
      <c r="RLZ38" s="188"/>
      <c r="RMA38" s="188"/>
      <c r="RMB38" s="188"/>
      <c r="RMC38" s="188"/>
      <c r="RMD38" s="188"/>
      <c r="RME38" s="188"/>
      <c r="RMF38" s="188"/>
      <c r="RMG38" s="188"/>
      <c r="RMH38" s="188"/>
      <c r="RMI38" s="188"/>
      <c r="RMJ38" s="188"/>
      <c r="RMK38" s="188"/>
      <c r="RML38" s="188"/>
      <c r="RMM38" s="188"/>
      <c r="RMN38" s="188"/>
      <c r="RMO38" s="188"/>
      <c r="RMP38" s="188"/>
      <c r="RMQ38" s="188"/>
      <c r="RMR38" s="188"/>
      <c r="RMS38" s="188"/>
      <c r="RMT38" s="188"/>
      <c r="RMU38" s="188"/>
      <c r="RMV38" s="188"/>
      <c r="RMW38" s="188"/>
      <c r="RMX38" s="188"/>
      <c r="RMY38" s="188"/>
      <c r="RMZ38" s="188"/>
      <c r="RNA38" s="188"/>
      <c r="RNB38" s="188"/>
      <c r="RNC38" s="188"/>
      <c r="RND38" s="188"/>
      <c r="RNE38" s="188"/>
      <c r="RNF38" s="188"/>
      <c r="RNG38" s="188"/>
      <c r="RNH38" s="188"/>
      <c r="RNI38" s="188"/>
      <c r="RNJ38" s="188"/>
      <c r="RNK38" s="188"/>
      <c r="RNL38" s="188"/>
      <c r="RNM38" s="188"/>
      <c r="RNN38" s="188"/>
      <c r="RNO38" s="188"/>
      <c r="RNP38" s="188"/>
      <c r="RNS38" s="188"/>
      <c r="RNV38" s="188"/>
      <c r="RNY38" s="188"/>
      <c r="RNZ38" s="188"/>
      <c r="ROA38" s="188"/>
      <c r="ROB38" s="188"/>
      <c r="ROC38" s="188"/>
      <c r="ROD38" s="188"/>
      <c r="ROE38" s="188"/>
      <c r="ROF38" s="188"/>
      <c r="ROG38" s="188"/>
      <c r="ROI38" s="188"/>
      <c r="ROJ38" s="188"/>
      <c r="ROK38" s="188"/>
      <c r="ROL38" s="188"/>
      <c r="ROM38" s="188"/>
      <c r="RON38" s="188"/>
      <c r="ROO38" s="188"/>
      <c r="ROP38" s="188"/>
      <c r="ROQ38" s="188"/>
      <c r="ROR38" s="188"/>
      <c r="ROS38" s="188"/>
      <c r="ROT38" s="188"/>
      <c r="ROU38" s="188"/>
      <c r="ROV38" s="188"/>
      <c r="ROW38" s="188"/>
      <c r="ROX38" s="188"/>
      <c r="ROY38" s="188"/>
      <c r="ROZ38" s="188"/>
      <c r="RPA38" s="188"/>
      <c r="RPB38" s="188"/>
      <c r="RPC38" s="188"/>
      <c r="RPD38" s="188"/>
      <c r="RPE38" s="188"/>
      <c r="RPF38" s="188"/>
      <c r="RPG38" s="188"/>
      <c r="RPH38" s="188"/>
      <c r="RPI38" s="188"/>
      <c r="RPJ38" s="188"/>
      <c r="RPK38" s="188"/>
      <c r="RPL38" s="188"/>
      <c r="RPM38" s="188"/>
      <c r="RPN38" s="188"/>
      <c r="RPO38" s="188"/>
      <c r="RPP38" s="188"/>
      <c r="RPQ38" s="188"/>
      <c r="RPR38" s="188"/>
      <c r="RPS38" s="188"/>
      <c r="RPT38" s="188"/>
      <c r="RPU38" s="188"/>
      <c r="RPV38" s="188"/>
      <c r="RPW38" s="188"/>
      <c r="RPX38" s="188"/>
      <c r="RPY38" s="188"/>
      <c r="RPZ38" s="188"/>
      <c r="RQA38" s="188"/>
      <c r="RQB38" s="188"/>
      <c r="RQC38" s="188"/>
      <c r="RQD38" s="188"/>
      <c r="RQE38" s="188"/>
      <c r="RQF38" s="188"/>
      <c r="RQG38" s="188"/>
      <c r="RQH38" s="188"/>
      <c r="RQI38" s="188"/>
      <c r="RQJ38" s="188"/>
      <c r="RQK38" s="188"/>
      <c r="RQL38" s="188"/>
      <c r="RQM38" s="188"/>
      <c r="RQN38" s="188"/>
      <c r="RQO38" s="188"/>
      <c r="RQP38" s="188"/>
      <c r="RQQ38" s="188"/>
      <c r="RQR38" s="188"/>
      <c r="RQS38" s="188"/>
      <c r="RQT38" s="188"/>
      <c r="RQU38" s="188"/>
      <c r="RQV38" s="188"/>
      <c r="RQW38" s="188"/>
      <c r="RQX38" s="188"/>
      <c r="RQY38" s="188"/>
      <c r="RQZ38" s="188"/>
      <c r="RRA38" s="188"/>
      <c r="RRB38" s="188"/>
      <c r="RRC38" s="188"/>
      <c r="RRD38" s="188"/>
      <c r="RRE38" s="188"/>
      <c r="RRF38" s="188"/>
      <c r="RRG38" s="188"/>
      <c r="RRH38" s="188"/>
      <c r="RRI38" s="188"/>
      <c r="RRJ38" s="188"/>
      <c r="RRK38" s="188"/>
      <c r="RRL38" s="188"/>
      <c r="RRM38" s="188"/>
      <c r="RRN38" s="188"/>
      <c r="RRO38" s="188"/>
      <c r="RRP38" s="188"/>
      <c r="RRQ38" s="188"/>
      <c r="RRR38" s="188"/>
      <c r="RRS38" s="188"/>
      <c r="RRT38" s="188"/>
      <c r="RRU38" s="188"/>
      <c r="RRV38" s="188"/>
      <c r="RRW38" s="188"/>
      <c r="RRX38" s="188"/>
      <c r="RRY38" s="188"/>
      <c r="RRZ38" s="188"/>
      <c r="RSA38" s="188"/>
      <c r="RSB38" s="188"/>
      <c r="RSC38" s="188"/>
      <c r="RSD38" s="188"/>
      <c r="RSE38" s="188"/>
      <c r="RSF38" s="188"/>
      <c r="RSG38" s="188"/>
      <c r="RSH38" s="188"/>
      <c r="RSI38" s="188"/>
      <c r="RSJ38" s="188"/>
      <c r="RSK38" s="188"/>
      <c r="RSL38" s="188"/>
      <c r="RSM38" s="188"/>
      <c r="RSN38" s="188"/>
      <c r="RSO38" s="188"/>
      <c r="RSP38" s="188"/>
      <c r="RSQ38" s="188"/>
      <c r="RSR38" s="188"/>
      <c r="RSS38" s="188"/>
      <c r="RST38" s="188"/>
      <c r="RSU38" s="188"/>
      <c r="RSV38" s="188"/>
      <c r="RSW38" s="188"/>
      <c r="RSX38" s="188"/>
      <c r="RSY38" s="188"/>
      <c r="RSZ38" s="188"/>
      <c r="RTA38" s="188"/>
      <c r="RTB38" s="188"/>
      <c r="RTC38" s="188"/>
      <c r="RTD38" s="188"/>
      <c r="RTE38" s="188"/>
      <c r="RTF38" s="188"/>
      <c r="RTG38" s="188"/>
      <c r="RTH38" s="188"/>
      <c r="RTI38" s="188"/>
      <c r="RTJ38" s="188"/>
      <c r="RTK38" s="188"/>
      <c r="RTL38" s="188"/>
      <c r="RTM38" s="188"/>
      <c r="RTN38" s="188"/>
      <c r="RTO38" s="188"/>
      <c r="RTP38" s="188"/>
      <c r="RTQ38" s="188"/>
      <c r="RTR38" s="188"/>
      <c r="RTS38" s="188"/>
      <c r="RTT38" s="188"/>
      <c r="RTU38" s="188"/>
      <c r="RTV38" s="188"/>
      <c r="RTW38" s="188"/>
      <c r="RTX38" s="188"/>
      <c r="RTY38" s="188"/>
      <c r="RTZ38" s="188"/>
      <c r="RUA38" s="188"/>
      <c r="RUB38" s="188"/>
      <c r="RUC38" s="188"/>
      <c r="RUD38" s="188"/>
      <c r="RUE38" s="188"/>
      <c r="RUF38" s="188"/>
      <c r="RUG38" s="188"/>
      <c r="RUH38" s="188"/>
      <c r="RUI38" s="188"/>
      <c r="RUJ38" s="188"/>
      <c r="RUK38" s="188"/>
      <c r="RUL38" s="188"/>
      <c r="RUM38" s="188"/>
      <c r="RUN38" s="188"/>
      <c r="RUO38" s="188"/>
      <c r="RUP38" s="188"/>
      <c r="RUQ38" s="188"/>
      <c r="RUR38" s="188"/>
      <c r="RUS38" s="188"/>
      <c r="RUT38" s="188"/>
      <c r="RUU38" s="188"/>
      <c r="RUV38" s="188"/>
      <c r="RUW38" s="188"/>
      <c r="RUX38" s="188"/>
      <c r="RUY38" s="188"/>
      <c r="RUZ38" s="188"/>
      <c r="RVA38" s="188"/>
      <c r="RVB38" s="188"/>
      <c r="RVC38" s="188"/>
      <c r="RVD38" s="188"/>
      <c r="RVE38" s="188"/>
      <c r="RVF38" s="188"/>
      <c r="RVG38" s="188"/>
      <c r="RVH38" s="188"/>
      <c r="RVI38" s="188"/>
      <c r="RVJ38" s="188"/>
      <c r="RVK38" s="188"/>
      <c r="RVL38" s="188"/>
      <c r="RVM38" s="188"/>
      <c r="RVN38" s="188"/>
      <c r="RVO38" s="188"/>
      <c r="RVP38" s="188"/>
      <c r="RVQ38" s="188"/>
      <c r="RVR38" s="188"/>
      <c r="RVS38" s="188"/>
      <c r="RVT38" s="188"/>
      <c r="RVU38" s="188"/>
      <c r="RVV38" s="188"/>
      <c r="RVW38" s="188"/>
      <c r="RVX38" s="188"/>
      <c r="RVY38" s="188"/>
      <c r="RVZ38" s="188"/>
      <c r="RWA38" s="188"/>
      <c r="RWB38" s="188"/>
      <c r="RWC38" s="188"/>
      <c r="RWD38" s="188"/>
      <c r="RWE38" s="188"/>
      <c r="RWF38" s="188"/>
      <c r="RWG38" s="188"/>
      <c r="RWH38" s="188"/>
      <c r="RWI38" s="188"/>
      <c r="RWJ38" s="188"/>
      <c r="RWK38" s="188"/>
      <c r="RWL38" s="188"/>
      <c r="RWM38" s="188"/>
      <c r="RWN38" s="188"/>
      <c r="RWO38" s="188"/>
      <c r="RWP38" s="188"/>
      <c r="RWQ38" s="188"/>
      <c r="RWR38" s="188"/>
      <c r="RWS38" s="188"/>
      <c r="RWT38" s="188"/>
      <c r="RWU38" s="188"/>
      <c r="RWV38" s="188"/>
      <c r="RWW38" s="188"/>
      <c r="RWX38" s="188"/>
      <c r="RWY38" s="188"/>
      <c r="RWZ38" s="188"/>
      <c r="RXA38" s="188"/>
      <c r="RXB38" s="188"/>
      <c r="RXC38" s="188"/>
      <c r="RXD38" s="188"/>
      <c r="RXE38" s="188"/>
      <c r="RXF38" s="188"/>
      <c r="RXG38" s="188"/>
      <c r="RXH38" s="188"/>
      <c r="RXI38" s="188"/>
      <c r="RXJ38" s="188"/>
      <c r="RXK38" s="188"/>
      <c r="RXL38" s="188"/>
      <c r="RXO38" s="188"/>
      <c r="RXR38" s="188"/>
      <c r="RXU38" s="188"/>
      <c r="RXV38" s="188"/>
      <c r="RXW38" s="188"/>
      <c r="RXX38" s="188"/>
      <c r="RXY38" s="188"/>
      <c r="RXZ38" s="188"/>
      <c r="RYA38" s="188"/>
      <c r="RYB38" s="188"/>
      <c r="RYC38" s="188"/>
      <c r="RYE38" s="188"/>
      <c r="RYF38" s="188"/>
      <c r="RYG38" s="188"/>
      <c r="RYH38" s="188"/>
      <c r="RYI38" s="188"/>
      <c r="RYJ38" s="188"/>
      <c r="RYK38" s="188"/>
      <c r="RYL38" s="188"/>
      <c r="RYM38" s="188"/>
      <c r="RYN38" s="188"/>
      <c r="RYO38" s="188"/>
      <c r="RYP38" s="188"/>
      <c r="RYQ38" s="188"/>
      <c r="RYR38" s="188"/>
      <c r="RYS38" s="188"/>
      <c r="RYT38" s="188"/>
      <c r="RYU38" s="188"/>
      <c r="RYV38" s="188"/>
      <c r="RYW38" s="188"/>
      <c r="RYX38" s="188"/>
      <c r="RYY38" s="188"/>
      <c r="RYZ38" s="188"/>
      <c r="RZA38" s="188"/>
      <c r="RZB38" s="188"/>
      <c r="RZC38" s="188"/>
      <c r="RZD38" s="188"/>
      <c r="RZE38" s="188"/>
      <c r="RZF38" s="188"/>
      <c r="RZG38" s="188"/>
      <c r="RZH38" s="188"/>
      <c r="RZI38" s="188"/>
      <c r="RZJ38" s="188"/>
      <c r="RZK38" s="188"/>
      <c r="RZL38" s="188"/>
      <c r="RZM38" s="188"/>
      <c r="RZN38" s="188"/>
      <c r="RZO38" s="188"/>
      <c r="RZP38" s="188"/>
      <c r="RZQ38" s="188"/>
      <c r="RZR38" s="188"/>
      <c r="RZS38" s="188"/>
      <c r="RZT38" s="188"/>
      <c r="RZU38" s="188"/>
      <c r="RZV38" s="188"/>
      <c r="RZW38" s="188"/>
      <c r="RZX38" s="188"/>
      <c r="RZY38" s="188"/>
      <c r="RZZ38" s="188"/>
      <c r="SAA38" s="188"/>
      <c r="SAB38" s="188"/>
      <c r="SAC38" s="188"/>
      <c r="SAD38" s="188"/>
      <c r="SAE38" s="188"/>
      <c r="SAF38" s="188"/>
      <c r="SAG38" s="188"/>
      <c r="SAH38" s="188"/>
      <c r="SAI38" s="188"/>
      <c r="SAJ38" s="188"/>
      <c r="SAK38" s="188"/>
      <c r="SAL38" s="188"/>
      <c r="SAM38" s="188"/>
      <c r="SAN38" s="188"/>
      <c r="SAO38" s="188"/>
      <c r="SAP38" s="188"/>
      <c r="SAQ38" s="188"/>
      <c r="SAR38" s="188"/>
      <c r="SAS38" s="188"/>
      <c r="SAT38" s="188"/>
      <c r="SAU38" s="188"/>
      <c r="SAV38" s="188"/>
      <c r="SAW38" s="188"/>
      <c r="SAX38" s="188"/>
      <c r="SAY38" s="188"/>
      <c r="SAZ38" s="188"/>
      <c r="SBA38" s="188"/>
      <c r="SBB38" s="188"/>
      <c r="SBC38" s="188"/>
      <c r="SBD38" s="188"/>
      <c r="SBE38" s="188"/>
      <c r="SBF38" s="188"/>
      <c r="SBG38" s="188"/>
      <c r="SBH38" s="188"/>
      <c r="SBI38" s="188"/>
      <c r="SBJ38" s="188"/>
      <c r="SBK38" s="188"/>
      <c r="SBL38" s="188"/>
      <c r="SBM38" s="188"/>
      <c r="SBN38" s="188"/>
      <c r="SBO38" s="188"/>
      <c r="SBP38" s="188"/>
      <c r="SBQ38" s="188"/>
      <c r="SBR38" s="188"/>
      <c r="SBS38" s="188"/>
      <c r="SBT38" s="188"/>
      <c r="SBU38" s="188"/>
      <c r="SBV38" s="188"/>
      <c r="SBW38" s="188"/>
      <c r="SBX38" s="188"/>
      <c r="SBY38" s="188"/>
      <c r="SBZ38" s="188"/>
      <c r="SCA38" s="188"/>
      <c r="SCB38" s="188"/>
      <c r="SCC38" s="188"/>
      <c r="SCD38" s="188"/>
      <c r="SCE38" s="188"/>
      <c r="SCF38" s="188"/>
      <c r="SCG38" s="188"/>
      <c r="SCH38" s="188"/>
      <c r="SCI38" s="188"/>
      <c r="SCJ38" s="188"/>
      <c r="SCK38" s="188"/>
      <c r="SCL38" s="188"/>
      <c r="SCM38" s="188"/>
      <c r="SCN38" s="188"/>
      <c r="SCO38" s="188"/>
      <c r="SCP38" s="188"/>
      <c r="SCQ38" s="188"/>
      <c r="SCR38" s="188"/>
      <c r="SCS38" s="188"/>
      <c r="SCT38" s="188"/>
      <c r="SCU38" s="188"/>
      <c r="SCV38" s="188"/>
      <c r="SCW38" s="188"/>
      <c r="SCX38" s="188"/>
      <c r="SCY38" s="188"/>
      <c r="SCZ38" s="188"/>
      <c r="SDA38" s="188"/>
      <c r="SDB38" s="188"/>
      <c r="SDC38" s="188"/>
      <c r="SDD38" s="188"/>
      <c r="SDE38" s="188"/>
      <c r="SDF38" s="188"/>
      <c r="SDG38" s="188"/>
      <c r="SDH38" s="188"/>
      <c r="SDI38" s="188"/>
      <c r="SDJ38" s="188"/>
      <c r="SDK38" s="188"/>
      <c r="SDL38" s="188"/>
      <c r="SDM38" s="188"/>
      <c r="SDN38" s="188"/>
      <c r="SDO38" s="188"/>
      <c r="SDP38" s="188"/>
      <c r="SDQ38" s="188"/>
      <c r="SDR38" s="188"/>
      <c r="SDS38" s="188"/>
      <c r="SDT38" s="188"/>
      <c r="SDU38" s="188"/>
      <c r="SDV38" s="188"/>
      <c r="SDW38" s="188"/>
      <c r="SDX38" s="188"/>
      <c r="SDY38" s="188"/>
      <c r="SDZ38" s="188"/>
      <c r="SEA38" s="188"/>
      <c r="SEB38" s="188"/>
      <c r="SEC38" s="188"/>
      <c r="SED38" s="188"/>
      <c r="SEE38" s="188"/>
      <c r="SEF38" s="188"/>
      <c r="SEG38" s="188"/>
      <c r="SEH38" s="188"/>
      <c r="SEI38" s="188"/>
      <c r="SEJ38" s="188"/>
      <c r="SEK38" s="188"/>
      <c r="SEL38" s="188"/>
      <c r="SEM38" s="188"/>
      <c r="SEN38" s="188"/>
      <c r="SEO38" s="188"/>
      <c r="SEP38" s="188"/>
      <c r="SEQ38" s="188"/>
      <c r="SER38" s="188"/>
      <c r="SES38" s="188"/>
      <c r="SET38" s="188"/>
      <c r="SEU38" s="188"/>
      <c r="SEV38" s="188"/>
      <c r="SEW38" s="188"/>
      <c r="SEX38" s="188"/>
      <c r="SEY38" s="188"/>
      <c r="SEZ38" s="188"/>
      <c r="SFA38" s="188"/>
      <c r="SFB38" s="188"/>
      <c r="SFC38" s="188"/>
      <c r="SFD38" s="188"/>
      <c r="SFE38" s="188"/>
      <c r="SFF38" s="188"/>
      <c r="SFG38" s="188"/>
      <c r="SFH38" s="188"/>
      <c r="SFI38" s="188"/>
      <c r="SFJ38" s="188"/>
      <c r="SFK38" s="188"/>
      <c r="SFL38" s="188"/>
      <c r="SFM38" s="188"/>
      <c r="SFN38" s="188"/>
      <c r="SFO38" s="188"/>
      <c r="SFP38" s="188"/>
      <c r="SFQ38" s="188"/>
      <c r="SFR38" s="188"/>
      <c r="SFS38" s="188"/>
      <c r="SFT38" s="188"/>
      <c r="SFU38" s="188"/>
      <c r="SFV38" s="188"/>
      <c r="SFW38" s="188"/>
      <c r="SFX38" s="188"/>
      <c r="SFY38" s="188"/>
      <c r="SFZ38" s="188"/>
      <c r="SGA38" s="188"/>
      <c r="SGB38" s="188"/>
      <c r="SGC38" s="188"/>
      <c r="SGD38" s="188"/>
      <c r="SGE38" s="188"/>
      <c r="SGF38" s="188"/>
      <c r="SGG38" s="188"/>
      <c r="SGH38" s="188"/>
      <c r="SGI38" s="188"/>
      <c r="SGJ38" s="188"/>
      <c r="SGK38" s="188"/>
      <c r="SGL38" s="188"/>
      <c r="SGM38" s="188"/>
      <c r="SGN38" s="188"/>
      <c r="SGO38" s="188"/>
      <c r="SGP38" s="188"/>
      <c r="SGQ38" s="188"/>
      <c r="SGR38" s="188"/>
      <c r="SGS38" s="188"/>
      <c r="SGT38" s="188"/>
      <c r="SGU38" s="188"/>
      <c r="SGV38" s="188"/>
      <c r="SGW38" s="188"/>
      <c r="SGX38" s="188"/>
      <c r="SGY38" s="188"/>
      <c r="SGZ38" s="188"/>
      <c r="SHA38" s="188"/>
      <c r="SHB38" s="188"/>
      <c r="SHC38" s="188"/>
      <c r="SHD38" s="188"/>
      <c r="SHE38" s="188"/>
      <c r="SHF38" s="188"/>
      <c r="SHG38" s="188"/>
      <c r="SHH38" s="188"/>
      <c r="SHK38" s="188"/>
      <c r="SHN38" s="188"/>
      <c r="SHQ38" s="188"/>
      <c r="SHR38" s="188"/>
      <c r="SHS38" s="188"/>
      <c r="SHT38" s="188"/>
      <c r="SHU38" s="188"/>
      <c r="SHV38" s="188"/>
      <c r="SHW38" s="188"/>
      <c r="SHX38" s="188"/>
      <c r="SHY38" s="188"/>
      <c r="SIA38" s="188"/>
      <c r="SIB38" s="188"/>
      <c r="SIC38" s="188"/>
      <c r="SID38" s="188"/>
      <c r="SIE38" s="188"/>
      <c r="SIF38" s="188"/>
      <c r="SIG38" s="188"/>
      <c r="SIH38" s="188"/>
      <c r="SII38" s="188"/>
      <c r="SIJ38" s="188"/>
      <c r="SIK38" s="188"/>
      <c r="SIL38" s="188"/>
      <c r="SIM38" s="188"/>
      <c r="SIN38" s="188"/>
      <c r="SIO38" s="188"/>
      <c r="SIP38" s="188"/>
      <c r="SIQ38" s="188"/>
      <c r="SIR38" s="188"/>
      <c r="SIS38" s="188"/>
      <c r="SIT38" s="188"/>
      <c r="SIU38" s="188"/>
      <c r="SIV38" s="188"/>
      <c r="SIW38" s="188"/>
      <c r="SIX38" s="188"/>
      <c r="SIY38" s="188"/>
      <c r="SIZ38" s="188"/>
      <c r="SJA38" s="188"/>
      <c r="SJB38" s="188"/>
      <c r="SJC38" s="188"/>
      <c r="SJD38" s="188"/>
      <c r="SJE38" s="188"/>
      <c r="SJF38" s="188"/>
      <c r="SJG38" s="188"/>
      <c r="SJH38" s="188"/>
      <c r="SJI38" s="188"/>
      <c r="SJJ38" s="188"/>
      <c r="SJK38" s="188"/>
      <c r="SJL38" s="188"/>
      <c r="SJM38" s="188"/>
      <c r="SJN38" s="188"/>
      <c r="SJO38" s="188"/>
      <c r="SJP38" s="188"/>
      <c r="SJQ38" s="188"/>
      <c r="SJR38" s="188"/>
      <c r="SJS38" s="188"/>
      <c r="SJT38" s="188"/>
      <c r="SJU38" s="188"/>
      <c r="SJV38" s="188"/>
      <c r="SJW38" s="188"/>
      <c r="SJX38" s="188"/>
      <c r="SJY38" s="188"/>
      <c r="SJZ38" s="188"/>
      <c r="SKA38" s="188"/>
      <c r="SKB38" s="188"/>
      <c r="SKC38" s="188"/>
      <c r="SKD38" s="188"/>
      <c r="SKE38" s="188"/>
      <c r="SKF38" s="188"/>
      <c r="SKG38" s="188"/>
      <c r="SKH38" s="188"/>
      <c r="SKI38" s="188"/>
      <c r="SKJ38" s="188"/>
      <c r="SKK38" s="188"/>
      <c r="SKL38" s="188"/>
      <c r="SKM38" s="188"/>
      <c r="SKN38" s="188"/>
      <c r="SKO38" s="188"/>
      <c r="SKP38" s="188"/>
      <c r="SKQ38" s="188"/>
      <c r="SKR38" s="188"/>
      <c r="SKS38" s="188"/>
      <c r="SKT38" s="188"/>
      <c r="SKU38" s="188"/>
      <c r="SKV38" s="188"/>
      <c r="SKW38" s="188"/>
      <c r="SKX38" s="188"/>
      <c r="SKY38" s="188"/>
      <c r="SKZ38" s="188"/>
      <c r="SLA38" s="188"/>
      <c r="SLB38" s="188"/>
      <c r="SLC38" s="188"/>
      <c r="SLD38" s="188"/>
      <c r="SLE38" s="188"/>
      <c r="SLF38" s="188"/>
      <c r="SLG38" s="188"/>
      <c r="SLH38" s="188"/>
      <c r="SLI38" s="188"/>
      <c r="SLJ38" s="188"/>
      <c r="SLK38" s="188"/>
      <c r="SLL38" s="188"/>
      <c r="SLM38" s="188"/>
      <c r="SLN38" s="188"/>
      <c r="SLO38" s="188"/>
      <c r="SLP38" s="188"/>
      <c r="SLQ38" s="188"/>
      <c r="SLR38" s="188"/>
      <c r="SLS38" s="188"/>
      <c r="SLT38" s="188"/>
      <c r="SLU38" s="188"/>
      <c r="SLV38" s="188"/>
      <c r="SLW38" s="188"/>
      <c r="SLX38" s="188"/>
      <c r="SLY38" s="188"/>
      <c r="SLZ38" s="188"/>
      <c r="SMA38" s="188"/>
      <c r="SMB38" s="188"/>
      <c r="SMC38" s="188"/>
      <c r="SMD38" s="188"/>
      <c r="SME38" s="188"/>
      <c r="SMF38" s="188"/>
      <c r="SMG38" s="188"/>
      <c r="SMH38" s="188"/>
      <c r="SMI38" s="188"/>
      <c r="SMJ38" s="188"/>
      <c r="SMK38" s="188"/>
      <c r="SML38" s="188"/>
      <c r="SMM38" s="188"/>
      <c r="SMN38" s="188"/>
      <c r="SMO38" s="188"/>
      <c r="SMP38" s="188"/>
      <c r="SMQ38" s="188"/>
      <c r="SMR38" s="188"/>
      <c r="SMS38" s="188"/>
      <c r="SMT38" s="188"/>
      <c r="SMU38" s="188"/>
      <c r="SMV38" s="188"/>
      <c r="SMW38" s="188"/>
      <c r="SMX38" s="188"/>
      <c r="SMY38" s="188"/>
      <c r="SMZ38" s="188"/>
      <c r="SNA38" s="188"/>
      <c r="SNB38" s="188"/>
      <c r="SNC38" s="188"/>
      <c r="SND38" s="188"/>
      <c r="SNE38" s="188"/>
      <c r="SNF38" s="188"/>
      <c r="SNG38" s="188"/>
      <c r="SNH38" s="188"/>
      <c r="SNI38" s="188"/>
      <c r="SNJ38" s="188"/>
      <c r="SNK38" s="188"/>
      <c r="SNL38" s="188"/>
      <c r="SNM38" s="188"/>
      <c r="SNN38" s="188"/>
      <c r="SNO38" s="188"/>
      <c r="SNP38" s="188"/>
      <c r="SNQ38" s="188"/>
      <c r="SNR38" s="188"/>
      <c r="SNS38" s="188"/>
      <c r="SNT38" s="188"/>
      <c r="SNU38" s="188"/>
      <c r="SNV38" s="188"/>
      <c r="SNW38" s="188"/>
      <c r="SNX38" s="188"/>
      <c r="SNY38" s="188"/>
      <c r="SNZ38" s="188"/>
      <c r="SOA38" s="188"/>
      <c r="SOB38" s="188"/>
      <c r="SOC38" s="188"/>
      <c r="SOD38" s="188"/>
      <c r="SOE38" s="188"/>
      <c r="SOF38" s="188"/>
      <c r="SOG38" s="188"/>
      <c r="SOH38" s="188"/>
      <c r="SOI38" s="188"/>
      <c r="SOJ38" s="188"/>
      <c r="SOK38" s="188"/>
      <c r="SOL38" s="188"/>
      <c r="SOM38" s="188"/>
      <c r="SON38" s="188"/>
      <c r="SOO38" s="188"/>
      <c r="SOP38" s="188"/>
      <c r="SOQ38" s="188"/>
      <c r="SOR38" s="188"/>
      <c r="SOS38" s="188"/>
      <c r="SOT38" s="188"/>
      <c r="SOU38" s="188"/>
      <c r="SOV38" s="188"/>
      <c r="SOW38" s="188"/>
      <c r="SOX38" s="188"/>
      <c r="SOY38" s="188"/>
      <c r="SOZ38" s="188"/>
      <c r="SPA38" s="188"/>
      <c r="SPB38" s="188"/>
      <c r="SPC38" s="188"/>
      <c r="SPD38" s="188"/>
      <c r="SPE38" s="188"/>
      <c r="SPF38" s="188"/>
      <c r="SPG38" s="188"/>
      <c r="SPH38" s="188"/>
      <c r="SPI38" s="188"/>
      <c r="SPJ38" s="188"/>
      <c r="SPK38" s="188"/>
      <c r="SPL38" s="188"/>
      <c r="SPM38" s="188"/>
      <c r="SPN38" s="188"/>
      <c r="SPO38" s="188"/>
      <c r="SPP38" s="188"/>
      <c r="SPQ38" s="188"/>
      <c r="SPR38" s="188"/>
      <c r="SPS38" s="188"/>
      <c r="SPT38" s="188"/>
      <c r="SPU38" s="188"/>
      <c r="SPV38" s="188"/>
      <c r="SPW38" s="188"/>
      <c r="SPX38" s="188"/>
      <c r="SPY38" s="188"/>
      <c r="SPZ38" s="188"/>
      <c r="SQA38" s="188"/>
      <c r="SQB38" s="188"/>
      <c r="SQC38" s="188"/>
      <c r="SQD38" s="188"/>
      <c r="SQE38" s="188"/>
      <c r="SQF38" s="188"/>
      <c r="SQG38" s="188"/>
      <c r="SQH38" s="188"/>
      <c r="SQI38" s="188"/>
      <c r="SQJ38" s="188"/>
      <c r="SQK38" s="188"/>
      <c r="SQL38" s="188"/>
      <c r="SQM38" s="188"/>
      <c r="SQN38" s="188"/>
      <c r="SQO38" s="188"/>
      <c r="SQP38" s="188"/>
      <c r="SQQ38" s="188"/>
      <c r="SQR38" s="188"/>
      <c r="SQS38" s="188"/>
      <c r="SQT38" s="188"/>
      <c r="SQU38" s="188"/>
      <c r="SQV38" s="188"/>
      <c r="SQW38" s="188"/>
      <c r="SQX38" s="188"/>
      <c r="SQY38" s="188"/>
      <c r="SQZ38" s="188"/>
      <c r="SRA38" s="188"/>
      <c r="SRB38" s="188"/>
      <c r="SRC38" s="188"/>
      <c r="SRD38" s="188"/>
      <c r="SRG38" s="188"/>
      <c r="SRJ38" s="188"/>
      <c r="SRM38" s="188"/>
      <c r="SRN38" s="188"/>
      <c r="SRO38" s="188"/>
      <c r="SRP38" s="188"/>
      <c r="SRQ38" s="188"/>
      <c r="SRR38" s="188"/>
      <c r="SRS38" s="188"/>
      <c r="SRT38" s="188"/>
      <c r="SRU38" s="188"/>
      <c r="SRW38" s="188"/>
      <c r="SRX38" s="188"/>
      <c r="SRY38" s="188"/>
      <c r="SRZ38" s="188"/>
      <c r="SSA38" s="188"/>
      <c r="SSB38" s="188"/>
      <c r="SSC38" s="188"/>
      <c r="SSD38" s="188"/>
      <c r="SSE38" s="188"/>
      <c r="SSF38" s="188"/>
      <c r="SSG38" s="188"/>
      <c r="SSH38" s="188"/>
      <c r="SSI38" s="188"/>
      <c r="SSJ38" s="188"/>
      <c r="SSK38" s="188"/>
      <c r="SSL38" s="188"/>
      <c r="SSM38" s="188"/>
      <c r="SSN38" s="188"/>
      <c r="SSO38" s="188"/>
      <c r="SSP38" s="188"/>
      <c r="SSQ38" s="188"/>
      <c r="SSR38" s="188"/>
      <c r="SSS38" s="188"/>
      <c r="SST38" s="188"/>
      <c r="SSU38" s="188"/>
      <c r="SSV38" s="188"/>
      <c r="SSW38" s="188"/>
      <c r="SSX38" s="188"/>
      <c r="SSY38" s="188"/>
      <c r="SSZ38" s="188"/>
      <c r="STA38" s="188"/>
      <c r="STB38" s="188"/>
      <c r="STC38" s="188"/>
      <c r="STD38" s="188"/>
      <c r="STE38" s="188"/>
      <c r="STF38" s="188"/>
      <c r="STG38" s="188"/>
      <c r="STH38" s="188"/>
      <c r="STI38" s="188"/>
      <c r="STJ38" s="188"/>
      <c r="STK38" s="188"/>
      <c r="STL38" s="188"/>
      <c r="STM38" s="188"/>
      <c r="STN38" s="188"/>
      <c r="STO38" s="188"/>
      <c r="STP38" s="188"/>
      <c r="STQ38" s="188"/>
      <c r="STR38" s="188"/>
      <c r="STS38" s="188"/>
      <c r="STT38" s="188"/>
      <c r="STU38" s="188"/>
      <c r="STV38" s="188"/>
      <c r="STW38" s="188"/>
      <c r="STX38" s="188"/>
      <c r="STY38" s="188"/>
      <c r="STZ38" s="188"/>
      <c r="SUA38" s="188"/>
      <c r="SUB38" s="188"/>
      <c r="SUC38" s="188"/>
      <c r="SUD38" s="188"/>
      <c r="SUE38" s="188"/>
      <c r="SUF38" s="188"/>
      <c r="SUG38" s="188"/>
      <c r="SUH38" s="188"/>
      <c r="SUI38" s="188"/>
      <c r="SUJ38" s="188"/>
      <c r="SUK38" s="188"/>
      <c r="SUL38" s="188"/>
      <c r="SUM38" s="188"/>
      <c r="SUN38" s="188"/>
      <c r="SUO38" s="188"/>
      <c r="SUP38" s="188"/>
      <c r="SUQ38" s="188"/>
      <c r="SUR38" s="188"/>
      <c r="SUS38" s="188"/>
      <c r="SUT38" s="188"/>
      <c r="SUU38" s="188"/>
      <c r="SUV38" s="188"/>
      <c r="SUW38" s="188"/>
      <c r="SUX38" s="188"/>
      <c r="SUY38" s="188"/>
      <c r="SUZ38" s="188"/>
      <c r="SVA38" s="188"/>
      <c r="SVB38" s="188"/>
      <c r="SVC38" s="188"/>
      <c r="SVD38" s="188"/>
      <c r="SVE38" s="188"/>
      <c r="SVF38" s="188"/>
      <c r="SVG38" s="188"/>
      <c r="SVH38" s="188"/>
      <c r="SVI38" s="188"/>
      <c r="SVJ38" s="188"/>
      <c r="SVK38" s="188"/>
      <c r="SVL38" s="188"/>
      <c r="SVM38" s="188"/>
      <c r="SVN38" s="188"/>
      <c r="SVO38" s="188"/>
      <c r="SVP38" s="188"/>
      <c r="SVQ38" s="188"/>
      <c r="SVR38" s="188"/>
      <c r="SVS38" s="188"/>
      <c r="SVT38" s="188"/>
      <c r="SVU38" s="188"/>
      <c r="SVV38" s="188"/>
      <c r="SVW38" s="188"/>
      <c r="SVX38" s="188"/>
      <c r="SVY38" s="188"/>
      <c r="SVZ38" s="188"/>
      <c r="SWA38" s="188"/>
      <c r="SWB38" s="188"/>
      <c r="SWC38" s="188"/>
      <c r="SWD38" s="188"/>
      <c r="SWE38" s="188"/>
      <c r="SWF38" s="188"/>
      <c r="SWG38" s="188"/>
      <c r="SWH38" s="188"/>
      <c r="SWI38" s="188"/>
      <c r="SWJ38" s="188"/>
      <c r="SWK38" s="188"/>
      <c r="SWL38" s="188"/>
      <c r="SWM38" s="188"/>
      <c r="SWN38" s="188"/>
      <c r="SWO38" s="188"/>
      <c r="SWP38" s="188"/>
      <c r="SWQ38" s="188"/>
      <c r="SWR38" s="188"/>
      <c r="SWS38" s="188"/>
      <c r="SWT38" s="188"/>
      <c r="SWU38" s="188"/>
      <c r="SWV38" s="188"/>
      <c r="SWW38" s="188"/>
      <c r="SWX38" s="188"/>
      <c r="SWY38" s="188"/>
      <c r="SWZ38" s="188"/>
      <c r="SXA38" s="188"/>
      <c r="SXB38" s="188"/>
      <c r="SXC38" s="188"/>
      <c r="SXD38" s="188"/>
      <c r="SXE38" s="188"/>
      <c r="SXF38" s="188"/>
      <c r="SXG38" s="188"/>
      <c r="SXH38" s="188"/>
      <c r="SXI38" s="188"/>
      <c r="SXJ38" s="188"/>
      <c r="SXK38" s="188"/>
      <c r="SXL38" s="188"/>
      <c r="SXM38" s="188"/>
      <c r="SXN38" s="188"/>
      <c r="SXO38" s="188"/>
      <c r="SXP38" s="188"/>
      <c r="SXQ38" s="188"/>
      <c r="SXR38" s="188"/>
      <c r="SXS38" s="188"/>
      <c r="SXT38" s="188"/>
      <c r="SXU38" s="188"/>
      <c r="SXV38" s="188"/>
      <c r="SXW38" s="188"/>
      <c r="SXX38" s="188"/>
      <c r="SXY38" s="188"/>
      <c r="SXZ38" s="188"/>
      <c r="SYA38" s="188"/>
      <c r="SYB38" s="188"/>
      <c r="SYC38" s="188"/>
      <c r="SYD38" s="188"/>
      <c r="SYE38" s="188"/>
      <c r="SYF38" s="188"/>
      <c r="SYG38" s="188"/>
      <c r="SYH38" s="188"/>
      <c r="SYI38" s="188"/>
      <c r="SYJ38" s="188"/>
      <c r="SYK38" s="188"/>
      <c r="SYL38" s="188"/>
      <c r="SYM38" s="188"/>
      <c r="SYN38" s="188"/>
      <c r="SYO38" s="188"/>
      <c r="SYP38" s="188"/>
      <c r="SYQ38" s="188"/>
      <c r="SYR38" s="188"/>
      <c r="SYS38" s="188"/>
      <c r="SYT38" s="188"/>
      <c r="SYU38" s="188"/>
      <c r="SYV38" s="188"/>
      <c r="SYW38" s="188"/>
      <c r="SYX38" s="188"/>
      <c r="SYY38" s="188"/>
      <c r="SYZ38" s="188"/>
      <c r="SZA38" s="188"/>
      <c r="SZB38" s="188"/>
      <c r="SZC38" s="188"/>
      <c r="SZD38" s="188"/>
      <c r="SZE38" s="188"/>
      <c r="SZF38" s="188"/>
      <c r="SZG38" s="188"/>
      <c r="SZH38" s="188"/>
      <c r="SZI38" s="188"/>
      <c r="SZJ38" s="188"/>
      <c r="SZK38" s="188"/>
      <c r="SZL38" s="188"/>
      <c r="SZM38" s="188"/>
      <c r="SZN38" s="188"/>
      <c r="SZO38" s="188"/>
      <c r="SZP38" s="188"/>
      <c r="SZQ38" s="188"/>
      <c r="SZR38" s="188"/>
      <c r="SZS38" s="188"/>
      <c r="SZT38" s="188"/>
      <c r="SZU38" s="188"/>
      <c r="SZV38" s="188"/>
      <c r="SZW38" s="188"/>
      <c r="SZX38" s="188"/>
      <c r="SZY38" s="188"/>
      <c r="SZZ38" s="188"/>
      <c r="TAA38" s="188"/>
      <c r="TAB38" s="188"/>
      <c r="TAC38" s="188"/>
      <c r="TAD38" s="188"/>
      <c r="TAE38" s="188"/>
      <c r="TAF38" s="188"/>
      <c r="TAG38" s="188"/>
      <c r="TAH38" s="188"/>
      <c r="TAI38" s="188"/>
      <c r="TAJ38" s="188"/>
      <c r="TAK38" s="188"/>
      <c r="TAL38" s="188"/>
      <c r="TAM38" s="188"/>
      <c r="TAN38" s="188"/>
      <c r="TAO38" s="188"/>
      <c r="TAP38" s="188"/>
      <c r="TAQ38" s="188"/>
      <c r="TAR38" s="188"/>
      <c r="TAS38" s="188"/>
      <c r="TAT38" s="188"/>
      <c r="TAU38" s="188"/>
      <c r="TAV38" s="188"/>
      <c r="TAW38" s="188"/>
      <c r="TAX38" s="188"/>
      <c r="TAY38" s="188"/>
      <c r="TAZ38" s="188"/>
      <c r="TBC38" s="188"/>
      <c r="TBF38" s="188"/>
      <c r="TBI38" s="188"/>
      <c r="TBJ38" s="188"/>
      <c r="TBK38" s="188"/>
      <c r="TBL38" s="188"/>
      <c r="TBM38" s="188"/>
      <c r="TBN38" s="188"/>
      <c r="TBO38" s="188"/>
      <c r="TBP38" s="188"/>
      <c r="TBQ38" s="188"/>
      <c r="TBS38" s="188"/>
      <c r="TBT38" s="188"/>
      <c r="TBU38" s="188"/>
      <c r="TBV38" s="188"/>
      <c r="TBW38" s="188"/>
      <c r="TBX38" s="188"/>
      <c r="TBY38" s="188"/>
      <c r="TBZ38" s="188"/>
      <c r="TCA38" s="188"/>
      <c r="TCB38" s="188"/>
      <c r="TCC38" s="188"/>
      <c r="TCD38" s="188"/>
      <c r="TCE38" s="188"/>
      <c r="TCF38" s="188"/>
      <c r="TCG38" s="188"/>
      <c r="TCH38" s="188"/>
      <c r="TCI38" s="188"/>
      <c r="TCJ38" s="188"/>
      <c r="TCK38" s="188"/>
      <c r="TCL38" s="188"/>
      <c r="TCM38" s="188"/>
      <c r="TCN38" s="188"/>
      <c r="TCO38" s="188"/>
      <c r="TCP38" s="188"/>
      <c r="TCQ38" s="188"/>
      <c r="TCR38" s="188"/>
      <c r="TCS38" s="188"/>
      <c r="TCT38" s="188"/>
      <c r="TCU38" s="188"/>
      <c r="TCV38" s="188"/>
      <c r="TCW38" s="188"/>
      <c r="TCX38" s="188"/>
      <c r="TCY38" s="188"/>
      <c r="TCZ38" s="188"/>
      <c r="TDA38" s="188"/>
      <c r="TDB38" s="188"/>
      <c r="TDC38" s="188"/>
      <c r="TDD38" s="188"/>
      <c r="TDE38" s="188"/>
      <c r="TDF38" s="188"/>
      <c r="TDG38" s="188"/>
      <c r="TDH38" s="188"/>
      <c r="TDI38" s="188"/>
      <c r="TDJ38" s="188"/>
      <c r="TDK38" s="188"/>
      <c r="TDL38" s="188"/>
      <c r="TDM38" s="188"/>
      <c r="TDN38" s="188"/>
      <c r="TDO38" s="188"/>
      <c r="TDP38" s="188"/>
      <c r="TDQ38" s="188"/>
      <c r="TDR38" s="188"/>
      <c r="TDS38" s="188"/>
      <c r="TDT38" s="188"/>
      <c r="TDU38" s="188"/>
      <c r="TDV38" s="188"/>
      <c r="TDW38" s="188"/>
      <c r="TDX38" s="188"/>
      <c r="TDY38" s="188"/>
      <c r="TDZ38" s="188"/>
      <c r="TEA38" s="188"/>
      <c r="TEB38" s="188"/>
      <c r="TEC38" s="188"/>
      <c r="TED38" s="188"/>
      <c r="TEE38" s="188"/>
      <c r="TEF38" s="188"/>
      <c r="TEG38" s="188"/>
      <c r="TEH38" s="188"/>
      <c r="TEI38" s="188"/>
      <c r="TEJ38" s="188"/>
      <c r="TEK38" s="188"/>
      <c r="TEL38" s="188"/>
      <c r="TEM38" s="188"/>
      <c r="TEN38" s="188"/>
      <c r="TEO38" s="188"/>
      <c r="TEP38" s="188"/>
      <c r="TEQ38" s="188"/>
      <c r="TER38" s="188"/>
      <c r="TES38" s="188"/>
      <c r="TET38" s="188"/>
      <c r="TEU38" s="188"/>
      <c r="TEV38" s="188"/>
      <c r="TEW38" s="188"/>
      <c r="TEX38" s="188"/>
      <c r="TEY38" s="188"/>
      <c r="TEZ38" s="188"/>
      <c r="TFA38" s="188"/>
      <c r="TFB38" s="188"/>
      <c r="TFC38" s="188"/>
      <c r="TFD38" s="188"/>
      <c r="TFE38" s="188"/>
      <c r="TFF38" s="188"/>
      <c r="TFG38" s="188"/>
      <c r="TFH38" s="188"/>
      <c r="TFI38" s="188"/>
      <c r="TFJ38" s="188"/>
      <c r="TFK38" s="188"/>
      <c r="TFL38" s="188"/>
      <c r="TFM38" s="188"/>
      <c r="TFN38" s="188"/>
      <c r="TFO38" s="188"/>
      <c r="TFP38" s="188"/>
      <c r="TFQ38" s="188"/>
      <c r="TFR38" s="188"/>
      <c r="TFS38" s="188"/>
      <c r="TFT38" s="188"/>
      <c r="TFU38" s="188"/>
      <c r="TFV38" s="188"/>
      <c r="TFW38" s="188"/>
      <c r="TFX38" s="188"/>
      <c r="TFY38" s="188"/>
      <c r="TFZ38" s="188"/>
      <c r="TGA38" s="188"/>
      <c r="TGB38" s="188"/>
      <c r="TGC38" s="188"/>
      <c r="TGD38" s="188"/>
      <c r="TGE38" s="188"/>
      <c r="TGF38" s="188"/>
      <c r="TGG38" s="188"/>
      <c r="TGH38" s="188"/>
      <c r="TGI38" s="188"/>
      <c r="TGJ38" s="188"/>
      <c r="TGK38" s="188"/>
      <c r="TGL38" s="188"/>
      <c r="TGM38" s="188"/>
      <c r="TGN38" s="188"/>
      <c r="TGO38" s="188"/>
      <c r="TGP38" s="188"/>
      <c r="TGQ38" s="188"/>
      <c r="TGR38" s="188"/>
      <c r="TGS38" s="188"/>
      <c r="TGT38" s="188"/>
      <c r="TGU38" s="188"/>
      <c r="TGV38" s="188"/>
      <c r="TGW38" s="188"/>
      <c r="TGX38" s="188"/>
      <c r="TGY38" s="188"/>
      <c r="TGZ38" s="188"/>
      <c r="THA38" s="188"/>
      <c r="THB38" s="188"/>
      <c r="THC38" s="188"/>
      <c r="THD38" s="188"/>
      <c r="THE38" s="188"/>
      <c r="THF38" s="188"/>
      <c r="THG38" s="188"/>
      <c r="THH38" s="188"/>
      <c r="THI38" s="188"/>
      <c r="THJ38" s="188"/>
      <c r="THK38" s="188"/>
      <c r="THL38" s="188"/>
      <c r="THM38" s="188"/>
      <c r="THN38" s="188"/>
      <c r="THO38" s="188"/>
      <c r="THP38" s="188"/>
      <c r="THQ38" s="188"/>
      <c r="THR38" s="188"/>
      <c r="THS38" s="188"/>
      <c r="THT38" s="188"/>
      <c r="THU38" s="188"/>
      <c r="THV38" s="188"/>
      <c r="THW38" s="188"/>
      <c r="THX38" s="188"/>
      <c r="THY38" s="188"/>
      <c r="THZ38" s="188"/>
      <c r="TIA38" s="188"/>
      <c r="TIB38" s="188"/>
      <c r="TIC38" s="188"/>
      <c r="TID38" s="188"/>
      <c r="TIE38" s="188"/>
      <c r="TIF38" s="188"/>
      <c r="TIG38" s="188"/>
      <c r="TIH38" s="188"/>
      <c r="TII38" s="188"/>
      <c r="TIJ38" s="188"/>
      <c r="TIK38" s="188"/>
      <c r="TIL38" s="188"/>
      <c r="TIM38" s="188"/>
      <c r="TIN38" s="188"/>
      <c r="TIO38" s="188"/>
      <c r="TIP38" s="188"/>
      <c r="TIQ38" s="188"/>
      <c r="TIR38" s="188"/>
      <c r="TIS38" s="188"/>
      <c r="TIT38" s="188"/>
      <c r="TIU38" s="188"/>
      <c r="TIV38" s="188"/>
      <c r="TIW38" s="188"/>
      <c r="TIX38" s="188"/>
      <c r="TIY38" s="188"/>
      <c r="TIZ38" s="188"/>
      <c r="TJA38" s="188"/>
      <c r="TJB38" s="188"/>
      <c r="TJC38" s="188"/>
      <c r="TJD38" s="188"/>
      <c r="TJE38" s="188"/>
      <c r="TJF38" s="188"/>
      <c r="TJG38" s="188"/>
      <c r="TJH38" s="188"/>
      <c r="TJI38" s="188"/>
      <c r="TJJ38" s="188"/>
      <c r="TJK38" s="188"/>
      <c r="TJL38" s="188"/>
      <c r="TJM38" s="188"/>
      <c r="TJN38" s="188"/>
      <c r="TJO38" s="188"/>
      <c r="TJP38" s="188"/>
      <c r="TJQ38" s="188"/>
      <c r="TJR38" s="188"/>
      <c r="TJS38" s="188"/>
      <c r="TJT38" s="188"/>
      <c r="TJU38" s="188"/>
      <c r="TJV38" s="188"/>
      <c r="TJW38" s="188"/>
      <c r="TJX38" s="188"/>
      <c r="TJY38" s="188"/>
      <c r="TJZ38" s="188"/>
      <c r="TKA38" s="188"/>
      <c r="TKB38" s="188"/>
      <c r="TKC38" s="188"/>
      <c r="TKD38" s="188"/>
      <c r="TKE38" s="188"/>
      <c r="TKF38" s="188"/>
      <c r="TKG38" s="188"/>
      <c r="TKH38" s="188"/>
      <c r="TKI38" s="188"/>
      <c r="TKJ38" s="188"/>
      <c r="TKK38" s="188"/>
      <c r="TKL38" s="188"/>
      <c r="TKM38" s="188"/>
      <c r="TKN38" s="188"/>
      <c r="TKO38" s="188"/>
      <c r="TKP38" s="188"/>
      <c r="TKQ38" s="188"/>
      <c r="TKR38" s="188"/>
      <c r="TKS38" s="188"/>
      <c r="TKT38" s="188"/>
      <c r="TKU38" s="188"/>
      <c r="TKV38" s="188"/>
      <c r="TKY38" s="188"/>
      <c r="TLB38" s="188"/>
      <c r="TLE38" s="188"/>
      <c r="TLF38" s="188"/>
      <c r="TLG38" s="188"/>
      <c r="TLH38" s="188"/>
      <c r="TLI38" s="188"/>
      <c r="TLJ38" s="188"/>
      <c r="TLK38" s="188"/>
      <c r="TLL38" s="188"/>
      <c r="TLM38" s="188"/>
      <c r="TLO38" s="188"/>
      <c r="TLP38" s="188"/>
      <c r="TLQ38" s="188"/>
      <c r="TLR38" s="188"/>
      <c r="TLS38" s="188"/>
      <c r="TLT38" s="188"/>
      <c r="TLU38" s="188"/>
      <c r="TLV38" s="188"/>
      <c r="TLW38" s="188"/>
      <c r="TLX38" s="188"/>
      <c r="TLY38" s="188"/>
      <c r="TLZ38" s="188"/>
      <c r="TMA38" s="188"/>
      <c r="TMB38" s="188"/>
      <c r="TMC38" s="188"/>
      <c r="TMD38" s="188"/>
      <c r="TME38" s="188"/>
      <c r="TMF38" s="188"/>
      <c r="TMG38" s="188"/>
      <c r="TMH38" s="188"/>
      <c r="TMI38" s="188"/>
      <c r="TMJ38" s="188"/>
      <c r="TMK38" s="188"/>
      <c r="TML38" s="188"/>
      <c r="TMM38" s="188"/>
      <c r="TMN38" s="188"/>
      <c r="TMO38" s="188"/>
      <c r="TMP38" s="188"/>
      <c r="TMQ38" s="188"/>
      <c r="TMR38" s="188"/>
      <c r="TMS38" s="188"/>
      <c r="TMT38" s="188"/>
      <c r="TMU38" s="188"/>
      <c r="TMV38" s="188"/>
      <c r="TMW38" s="188"/>
      <c r="TMX38" s="188"/>
      <c r="TMY38" s="188"/>
      <c r="TMZ38" s="188"/>
      <c r="TNA38" s="188"/>
      <c r="TNB38" s="188"/>
      <c r="TNC38" s="188"/>
      <c r="TND38" s="188"/>
      <c r="TNE38" s="188"/>
      <c r="TNF38" s="188"/>
      <c r="TNG38" s="188"/>
      <c r="TNH38" s="188"/>
      <c r="TNI38" s="188"/>
      <c r="TNJ38" s="188"/>
      <c r="TNK38" s="188"/>
      <c r="TNL38" s="188"/>
      <c r="TNM38" s="188"/>
      <c r="TNN38" s="188"/>
      <c r="TNO38" s="188"/>
      <c r="TNP38" s="188"/>
      <c r="TNQ38" s="188"/>
      <c r="TNR38" s="188"/>
      <c r="TNS38" s="188"/>
      <c r="TNT38" s="188"/>
      <c r="TNU38" s="188"/>
      <c r="TNV38" s="188"/>
      <c r="TNW38" s="188"/>
      <c r="TNX38" s="188"/>
      <c r="TNY38" s="188"/>
      <c r="TNZ38" s="188"/>
      <c r="TOA38" s="188"/>
      <c r="TOB38" s="188"/>
      <c r="TOC38" s="188"/>
      <c r="TOD38" s="188"/>
      <c r="TOE38" s="188"/>
      <c r="TOF38" s="188"/>
      <c r="TOG38" s="188"/>
      <c r="TOH38" s="188"/>
      <c r="TOI38" s="188"/>
      <c r="TOJ38" s="188"/>
      <c r="TOK38" s="188"/>
      <c r="TOL38" s="188"/>
      <c r="TOM38" s="188"/>
      <c r="TON38" s="188"/>
      <c r="TOO38" s="188"/>
      <c r="TOP38" s="188"/>
      <c r="TOQ38" s="188"/>
      <c r="TOR38" s="188"/>
      <c r="TOS38" s="188"/>
      <c r="TOT38" s="188"/>
      <c r="TOU38" s="188"/>
      <c r="TOV38" s="188"/>
      <c r="TOW38" s="188"/>
      <c r="TOX38" s="188"/>
      <c r="TOY38" s="188"/>
      <c r="TOZ38" s="188"/>
      <c r="TPA38" s="188"/>
      <c r="TPB38" s="188"/>
      <c r="TPC38" s="188"/>
      <c r="TPD38" s="188"/>
      <c r="TPE38" s="188"/>
      <c r="TPF38" s="188"/>
      <c r="TPG38" s="188"/>
      <c r="TPH38" s="188"/>
      <c r="TPI38" s="188"/>
      <c r="TPJ38" s="188"/>
      <c r="TPK38" s="188"/>
      <c r="TPL38" s="188"/>
      <c r="TPM38" s="188"/>
      <c r="TPN38" s="188"/>
      <c r="TPO38" s="188"/>
      <c r="TPP38" s="188"/>
      <c r="TPQ38" s="188"/>
      <c r="TPR38" s="188"/>
      <c r="TPS38" s="188"/>
      <c r="TPT38" s="188"/>
      <c r="TPU38" s="188"/>
      <c r="TPV38" s="188"/>
      <c r="TPW38" s="188"/>
      <c r="TPX38" s="188"/>
      <c r="TPY38" s="188"/>
      <c r="TPZ38" s="188"/>
      <c r="TQA38" s="188"/>
      <c r="TQB38" s="188"/>
      <c r="TQC38" s="188"/>
      <c r="TQD38" s="188"/>
      <c r="TQE38" s="188"/>
      <c r="TQF38" s="188"/>
      <c r="TQG38" s="188"/>
      <c r="TQH38" s="188"/>
      <c r="TQI38" s="188"/>
      <c r="TQJ38" s="188"/>
      <c r="TQK38" s="188"/>
      <c r="TQL38" s="188"/>
      <c r="TQM38" s="188"/>
      <c r="TQN38" s="188"/>
      <c r="TQO38" s="188"/>
      <c r="TQP38" s="188"/>
      <c r="TQQ38" s="188"/>
      <c r="TQR38" s="188"/>
      <c r="TQS38" s="188"/>
      <c r="TQT38" s="188"/>
      <c r="TQU38" s="188"/>
      <c r="TQV38" s="188"/>
      <c r="TQW38" s="188"/>
      <c r="TQX38" s="188"/>
      <c r="TQY38" s="188"/>
      <c r="TQZ38" s="188"/>
      <c r="TRA38" s="188"/>
      <c r="TRB38" s="188"/>
      <c r="TRC38" s="188"/>
      <c r="TRD38" s="188"/>
      <c r="TRE38" s="188"/>
      <c r="TRF38" s="188"/>
      <c r="TRG38" s="188"/>
      <c r="TRH38" s="188"/>
      <c r="TRI38" s="188"/>
      <c r="TRJ38" s="188"/>
      <c r="TRK38" s="188"/>
      <c r="TRL38" s="188"/>
      <c r="TRM38" s="188"/>
      <c r="TRN38" s="188"/>
      <c r="TRO38" s="188"/>
      <c r="TRP38" s="188"/>
      <c r="TRQ38" s="188"/>
      <c r="TRR38" s="188"/>
      <c r="TRS38" s="188"/>
      <c r="TRT38" s="188"/>
      <c r="TRU38" s="188"/>
      <c r="TRV38" s="188"/>
      <c r="TRW38" s="188"/>
      <c r="TRX38" s="188"/>
      <c r="TRY38" s="188"/>
      <c r="TRZ38" s="188"/>
      <c r="TSA38" s="188"/>
      <c r="TSB38" s="188"/>
      <c r="TSC38" s="188"/>
      <c r="TSD38" s="188"/>
      <c r="TSE38" s="188"/>
      <c r="TSF38" s="188"/>
      <c r="TSG38" s="188"/>
      <c r="TSH38" s="188"/>
      <c r="TSI38" s="188"/>
      <c r="TSJ38" s="188"/>
      <c r="TSK38" s="188"/>
      <c r="TSL38" s="188"/>
      <c r="TSM38" s="188"/>
      <c r="TSN38" s="188"/>
      <c r="TSO38" s="188"/>
      <c r="TSP38" s="188"/>
      <c r="TSQ38" s="188"/>
      <c r="TSR38" s="188"/>
      <c r="TSS38" s="188"/>
      <c r="TST38" s="188"/>
      <c r="TSU38" s="188"/>
      <c r="TSV38" s="188"/>
      <c r="TSW38" s="188"/>
      <c r="TSX38" s="188"/>
      <c r="TSY38" s="188"/>
      <c r="TSZ38" s="188"/>
      <c r="TTA38" s="188"/>
      <c r="TTB38" s="188"/>
      <c r="TTC38" s="188"/>
      <c r="TTD38" s="188"/>
      <c r="TTE38" s="188"/>
      <c r="TTF38" s="188"/>
      <c r="TTG38" s="188"/>
      <c r="TTH38" s="188"/>
      <c r="TTI38" s="188"/>
      <c r="TTJ38" s="188"/>
      <c r="TTK38" s="188"/>
      <c r="TTL38" s="188"/>
      <c r="TTM38" s="188"/>
      <c r="TTN38" s="188"/>
      <c r="TTO38" s="188"/>
      <c r="TTP38" s="188"/>
      <c r="TTQ38" s="188"/>
      <c r="TTR38" s="188"/>
      <c r="TTS38" s="188"/>
      <c r="TTT38" s="188"/>
      <c r="TTU38" s="188"/>
      <c r="TTV38" s="188"/>
      <c r="TTW38" s="188"/>
      <c r="TTX38" s="188"/>
      <c r="TTY38" s="188"/>
      <c r="TTZ38" s="188"/>
      <c r="TUA38" s="188"/>
      <c r="TUB38" s="188"/>
      <c r="TUC38" s="188"/>
      <c r="TUD38" s="188"/>
      <c r="TUE38" s="188"/>
      <c r="TUF38" s="188"/>
      <c r="TUG38" s="188"/>
      <c r="TUH38" s="188"/>
      <c r="TUI38" s="188"/>
      <c r="TUJ38" s="188"/>
      <c r="TUK38" s="188"/>
      <c r="TUL38" s="188"/>
      <c r="TUM38" s="188"/>
      <c r="TUN38" s="188"/>
      <c r="TUO38" s="188"/>
      <c r="TUP38" s="188"/>
      <c r="TUQ38" s="188"/>
      <c r="TUR38" s="188"/>
      <c r="TUU38" s="188"/>
      <c r="TUX38" s="188"/>
      <c r="TVA38" s="188"/>
      <c r="TVB38" s="188"/>
      <c r="TVC38" s="188"/>
      <c r="TVD38" s="188"/>
      <c r="TVE38" s="188"/>
      <c r="TVF38" s="188"/>
      <c r="TVG38" s="188"/>
      <c r="TVH38" s="188"/>
      <c r="TVI38" s="188"/>
      <c r="TVK38" s="188"/>
      <c r="TVL38" s="188"/>
      <c r="TVM38" s="188"/>
      <c r="TVN38" s="188"/>
      <c r="TVO38" s="188"/>
      <c r="TVP38" s="188"/>
      <c r="TVQ38" s="188"/>
      <c r="TVR38" s="188"/>
      <c r="TVS38" s="188"/>
      <c r="TVT38" s="188"/>
      <c r="TVU38" s="188"/>
      <c r="TVV38" s="188"/>
      <c r="TVW38" s="188"/>
      <c r="TVX38" s="188"/>
      <c r="TVY38" s="188"/>
      <c r="TVZ38" s="188"/>
      <c r="TWA38" s="188"/>
      <c r="TWB38" s="188"/>
      <c r="TWC38" s="188"/>
      <c r="TWD38" s="188"/>
      <c r="TWE38" s="188"/>
      <c r="TWF38" s="188"/>
      <c r="TWG38" s="188"/>
      <c r="TWH38" s="188"/>
      <c r="TWI38" s="188"/>
      <c r="TWJ38" s="188"/>
      <c r="TWK38" s="188"/>
      <c r="TWL38" s="188"/>
      <c r="TWM38" s="188"/>
      <c r="TWN38" s="188"/>
      <c r="TWO38" s="188"/>
      <c r="TWP38" s="188"/>
      <c r="TWQ38" s="188"/>
      <c r="TWR38" s="188"/>
      <c r="TWS38" s="188"/>
      <c r="TWT38" s="188"/>
      <c r="TWU38" s="188"/>
      <c r="TWV38" s="188"/>
      <c r="TWW38" s="188"/>
      <c r="TWX38" s="188"/>
      <c r="TWY38" s="188"/>
      <c r="TWZ38" s="188"/>
      <c r="TXA38" s="188"/>
      <c r="TXB38" s="188"/>
      <c r="TXC38" s="188"/>
      <c r="TXD38" s="188"/>
      <c r="TXE38" s="188"/>
      <c r="TXF38" s="188"/>
      <c r="TXG38" s="188"/>
      <c r="TXH38" s="188"/>
      <c r="TXI38" s="188"/>
      <c r="TXJ38" s="188"/>
      <c r="TXK38" s="188"/>
      <c r="TXL38" s="188"/>
      <c r="TXM38" s="188"/>
      <c r="TXN38" s="188"/>
      <c r="TXO38" s="188"/>
      <c r="TXP38" s="188"/>
      <c r="TXQ38" s="188"/>
      <c r="TXR38" s="188"/>
      <c r="TXS38" s="188"/>
      <c r="TXT38" s="188"/>
      <c r="TXU38" s="188"/>
      <c r="TXV38" s="188"/>
      <c r="TXW38" s="188"/>
      <c r="TXX38" s="188"/>
      <c r="TXY38" s="188"/>
      <c r="TXZ38" s="188"/>
      <c r="TYA38" s="188"/>
      <c r="TYB38" s="188"/>
      <c r="TYC38" s="188"/>
      <c r="TYD38" s="188"/>
      <c r="TYE38" s="188"/>
      <c r="TYF38" s="188"/>
      <c r="TYG38" s="188"/>
      <c r="TYH38" s="188"/>
      <c r="TYI38" s="188"/>
      <c r="TYJ38" s="188"/>
      <c r="TYK38" s="188"/>
      <c r="TYL38" s="188"/>
      <c r="TYM38" s="188"/>
      <c r="TYN38" s="188"/>
      <c r="TYO38" s="188"/>
      <c r="TYP38" s="188"/>
      <c r="TYQ38" s="188"/>
      <c r="TYR38" s="188"/>
      <c r="TYS38" s="188"/>
      <c r="TYT38" s="188"/>
      <c r="TYU38" s="188"/>
      <c r="TYV38" s="188"/>
      <c r="TYW38" s="188"/>
      <c r="TYX38" s="188"/>
      <c r="TYY38" s="188"/>
      <c r="TYZ38" s="188"/>
      <c r="TZA38" s="188"/>
      <c r="TZB38" s="188"/>
      <c r="TZC38" s="188"/>
      <c r="TZD38" s="188"/>
      <c r="TZE38" s="188"/>
      <c r="TZF38" s="188"/>
      <c r="TZG38" s="188"/>
      <c r="TZH38" s="188"/>
      <c r="TZI38" s="188"/>
      <c r="TZJ38" s="188"/>
      <c r="TZK38" s="188"/>
      <c r="TZL38" s="188"/>
      <c r="TZM38" s="188"/>
      <c r="TZN38" s="188"/>
      <c r="TZO38" s="188"/>
      <c r="TZP38" s="188"/>
      <c r="TZQ38" s="188"/>
      <c r="TZR38" s="188"/>
      <c r="TZS38" s="188"/>
      <c r="TZT38" s="188"/>
      <c r="TZU38" s="188"/>
      <c r="TZV38" s="188"/>
      <c r="TZW38" s="188"/>
      <c r="TZX38" s="188"/>
      <c r="TZY38" s="188"/>
      <c r="TZZ38" s="188"/>
      <c r="UAA38" s="188"/>
      <c r="UAB38" s="188"/>
      <c r="UAC38" s="188"/>
      <c r="UAD38" s="188"/>
      <c r="UAE38" s="188"/>
      <c r="UAF38" s="188"/>
      <c r="UAG38" s="188"/>
      <c r="UAH38" s="188"/>
      <c r="UAI38" s="188"/>
      <c r="UAJ38" s="188"/>
      <c r="UAK38" s="188"/>
      <c r="UAL38" s="188"/>
      <c r="UAM38" s="188"/>
      <c r="UAN38" s="188"/>
      <c r="UAO38" s="188"/>
      <c r="UAP38" s="188"/>
      <c r="UAQ38" s="188"/>
      <c r="UAR38" s="188"/>
      <c r="UAS38" s="188"/>
      <c r="UAT38" s="188"/>
      <c r="UAU38" s="188"/>
      <c r="UAV38" s="188"/>
      <c r="UAW38" s="188"/>
      <c r="UAX38" s="188"/>
      <c r="UAY38" s="188"/>
      <c r="UAZ38" s="188"/>
      <c r="UBA38" s="188"/>
      <c r="UBB38" s="188"/>
      <c r="UBC38" s="188"/>
      <c r="UBD38" s="188"/>
      <c r="UBE38" s="188"/>
      <c r="UBF38" s="188"/>
      <c r="UBG38" s="188"/>
      <c r="UBH38" s="188"/>
      <c r="UBI38" s="188"/>
      <c r="UBJ38" s="188"/>
      <c r="UBK38" s="188"/>
      <c r="UBL38" s="188"/>
      <c r="UBM38" s="188"/>
      <c r="UBN38" s="188"/>
      <c r="UBO38" s="188"/>
      <c r="UBP38" s="188"/>
      <c r="UBQ38" s="188"/>
      <c r="UBR38" s="188"/>
      <c r="UBS38" s="188"/>
      <c r="UBT38" s="188"/>
      <c r="UBU38" s="188"/>
      <c r="UBV38" s="188"/>
      <c r="UBW38" s="188"/>
      <c r="UBX38" s="188"/>
      <c r="UBY38" s="188"/>
      <c r="UBZ38" s="188"/>
      <c r="UCA38" s="188"/>
      <c r="UCB38" s="188"/>
      <c r="UCC38" s="188"/>
      <c r="UCD38" s="188"/>
      <c r="UCE38" s="188"/>
      <c r="UCF38" s="188"/>
      <c r="UCG38" s="188"/>
      <c r="UCH38" s="188"/>
      <c r="UCI38" s="188"/>
      <c r="UCJ38" s="188"/>
      <c r="UCK38" s="188"/>
      <c r="UCL38" s="188"/>
      <c r="UCM38" s="188"/>
      <c r="UCN38" s="188"/>
      <c r="UCO38" s="188"/>
      <c r="UCP38" s="188"/>
      <c r="UCQ38" s="188"/>
      <c r="UCR38" s="188"/>
      <c r="UCS38" s="188"/>
      <c r="UCT38" s="188"/>
      <c r="UCU38" s="188"/>
      <c r="UCV38" s="188"/>
      <c r="UCW38" s="188"/>
      <c r="UCX38" s="188"/>
      <c r="UCY38" s="188"/>
      <c r="UCZ38" s="188"/>
      <c r="UDA38" s="188"/>
      <c r="UDB38" s="188"/>
      <c r="UDC38" s="188"/>
      <c r="UDD38" s="188"/>
      <c r="UDE38" s="188"/>
      <c r="UDF38" s="188"/>
      <c r="UDG38" s="188"/>
      <c r="UDH38" s="188"/>
      <c r="UDI38" s="188"/>
      <c r="UDJ38" s="188"/>
      <c r="UDK38" s="188"/>
      <c r="UDL38" s="188"/>
      <c r="UDM38" s="188"/>
      <c r="UDN38" s="188"/>
      <c r="UDO38" s="188"/>
      <c r="UDP38" s="188"/>
      <c r="UDQ38" s="188"/>
      <c r="UDR38" s="188"/>
      <c r="UDS38" s="188"/>
      <c r="UDT38" s="188"/>
      <c r="UDU38" s="188"/>
      <c r="UDV38" s="188"/>
      <c r="UDW38" s="188"/>
      <c r="UDX38" s="188"/>
      <c r="UDY38" s="188"/>
      <c r="UDZ38" s="188"/>
      <c r="UEA38" s="188"/>
      <c r="UEB38" s="188"/>
      <c r="UEC38" s="188"/>
      <c r="UED38" s="188"/>
      <c r="UEE38" s="188"/>
      <c r="UEF38" s="188"/>
      <c r="UEG38" s="188"/>
      <c r="UEH38" s="188"/>
      <c r="UEI38" s="188"/>
      <c r="UEJ38" s="188"/>
      <c r="UEK38" s="188"/>
      <c r="UEL38" s="188"/>
      <c r="UEM38" s="188"/>
      <c r="UEN38" s="188"/>
      <c r="UEQ38" s="188"/>
      <c r="UET38" s="188"/>
      <c r="UEW38" s="188"/>
      <c r="UEX38" s="188"/>
      <c r="UEY38" s="188"/>
      <c r="UEZ38" s="188"/>
      <c r="UFA38" s="188"/>
      <c r="UFB38" s="188"/>
      <c r="UFC38" s="188"/>
      <c r="UFD38" s="188"/>
      <c r="UFE38" s="188"/>
      <c r="UFG38" s="188"/>
      <c r="UFH38" s="188"/>
      <c r="UFI38" s="188"/>
      <c r="UFJ38" s="188"/>
      <c r="UFK38" s="188"/>
      <c r="UFL38" s="188"/>
      <c r="UFM38" s="188"/>
      <c r="UFN38" s="188"/>
      <c r="UFO38" s="188"/>
      <c r="UFP38" s="188"/>
      <c r="UFQ38" s="188"/>
      <c r="UFR38" s="188"/>
      <c r="UFS38" s="188"/>
      <c r="UFT38" s="188"/>
      <c r="UFU38" s="188"/>
      <c r="UFV38" s="188"/>
      <c r="UFW38" s="188"/>
      <c r="UFX38" s="188"/>
      <c r="UFY38" s="188"/>
      <c r="UFZ38" s="188"/>
      <c r="UGA38" s="188"/>
      <c r="UGB38" s="188"/>
      <c r="UGC38" s="188"/>
      <c r="UGD38" s="188"/>
      <c r="UGE38" s="188"/>
      <c r="UGF38" s="188"/>
      <c r="UGG38" s="188"/>
      <c r="UGH38" s="188"/>
      <c r="UGI38" s="188"/>
      <c r="UGJ38" s="188"/>
      <c r="UGK38" s="188"/>
      <c r="UGL38" s="188"/>
      <c r="UGM38" s="188"/>
      <c r="UGN38" s="188"/>
      <c r="UGO38" s="188"/>
      <c r="UGP38" s="188"/>
      <c r="UGQ38" s="188"/>
      <c r="UGR38" s="188"/>
      <c r="UGS38" s="188"/>
      <c r="UGT38" s="188"/>
      <c r="UGU38" s="188"/>
      <c r="UGV38" s="188"/>
      <c r="UGW38" s="188"/>
      <c r="UGX38" s="188"/>
      <c r="UGY38" s="188"/>
      <c r="UGZ38" s="188"/>
      <c r="UHA38" s="188"/>
      <c r="UHB38" s="188"/>
      <c r="UHC38" s="188"/>
      <c r="UHD38" s="188"/>
      <c r="UHE38" s="188"/>
      <c r="UHF38" s="188"/>
      <c r="UHG38" s="188"/>
      <c r="UHH38" s="188"/>
      <c r="UHI38" s="188"/>
      <c r="UHJ38" s="188"/>
      <c r="UHK38" s="188"/>
      <c r="UHL38" s="188"/>
      <c r="UHM38" s="188"/>
      <c r="UHN38" s="188"/>
      <c r="UHO38" s="188"/>
      <c r="UHP38" s="188"/>
      <c r="UHQ38" s="188"/>
      <c r="UHR38" s="188"/>
      <c r="UHS38" s="188"/>
      <c r="UHT38" s="188"/>
      <c r="UHU38" s="188"/>
      <c r="UHV38" s="188"/>
      <c r="UHW38" s="188"/>
      <c r="UHX38" s="188"/>
      <c r="UHY38" s="188"/>
      <c r="UHZ38" s="188"/>
      <c r="UIA38" s="188"/>
      <c r="UIB38" s="188"/>
      <c r="UIC38" s="188"/>
      <c r="UID38" s="188"/>
      <c r="UIE38" s="188"/>
      <c r="UIF38" s="188"/>
      <c r="UIG38" s="188"/>
      <c r="UIH38" s="188"/>
      <c r="UII38" s="188"/>
      <c r="UIJ38" s="188"/>
      <c r="UIK38" s="188"/>
      <c r="UIL38" s="188"/>
      <c r="UIM38" s="188"/>
      <c r="UIN38" s="188"/>
      <c r="UIO38" s="188"/>
      <c r="UIP38" s="188"/>
      <c r="UIQ38" s="188"/>
      <c r="UIR38" s="188"/>
      <c r="UIS38" s="188"/>
      <c r="UIT38" s="188"/>
      <c r="UIU38" s="188"/>
      <c r="UIV38" s="188"/>
      <c r="UIW38" s="188"/>
      <c r="UIX38" s="188"/>
      <c r="UIY38" s="188"/>
      <c r="UIZ38" s="188"/>
      <c r="UJA38" s="188"/>
      <c r="UJB38" s="188"/>
      <c r="UJC38" s="188"/>
      <c r="UJD38" s="188"/>
      <c r="UJE38" s="188"/>
      <c r="UJF38" s="188"/>
      <c r="UJG38" s="188"/>
      <c r="UJH38" s="188"/>
      <c r="UJI38" s="188"/>
      <c r="UJJ38" s="188"/>
      <c r="UJK38" s="188"/>
      <c r="UJL38" s="188"/>
      <c r="UJM38" s="188"/>
      <c r="UJN38" s="188"/>
      <c r="UJO38" s="188"/>
      <c r="UJP38" s="188"/>
      <c r="UJQ38" s="188"/>
      <c r="UJR38" s="188"/>
      <c r="UJS38" s="188"/>
      <c r="UJT38" s="188"/>
      <c r="UJU38" s="188"/>
      <c r="UJV38" s="188"/>
      <c r="UJW38" s="188"/>
      <c r="UJX38" s="188"/>
      <c r="UJY38" s="188"/>
      <c r="UJZ38" s="188"/>
      <c r="UKA38" s="188"/>
      <c r="UKB38" s="188"/>
      <c r="UKC38" s="188"/>
      <c r="UKD38" s="188"/>
      <c r="UKE38" s="188"/>
      <c r="UKF38" s="188"/>
      <c r="UKG38" s="188"/>
      <c r="UKH38" s="188"/>
      <c r="UKI38" s="188"/>
      <c r="UKJ38" s="188"/>
      <c r="UKK38" s="188"/>
      <c r="UKL38" s="188"/>
      <c r="UKM38" s="188"/>
      <c r="UKN38" s="188"/>
      <c r="UKO38" s="188"/>
      <c r="UKP38" s="188"/>
      <c r="UKQ38" s="188"/>
      <c r="UKR38" s="188"/>
      <c r="UKS38" s="188"/>
      <c r="UKT38" s="188"/>
      <c r="UKU38" s="188"/>
      <c r="UKV38" s="188"/>
      <c r="UKW38" s="188"/>
      <c r="UKX38" s="188"/>
      <c r="UKY38" s="188"/>
      <c r="UKZ38" s="188"/>
      <c r="ULA38" s="188"/>
      <c r="ULB38" s="188"/>
      <c r="ULC38" s="188"/>
      <c r="ULD38" s="188"/>
      <c r="ULE38" s="188"/>
      <c r="ULF38" s="188"/>
      <c r="ULG38" s="188"/>
      <c r="ULH38" s="188"/>
      <c r="ULI38" s="188"/>
      <c r="ULJ38" s="188"/>
      <c r="ULK38" s="188"/>
      <c r="ULL38" s="188"/>
      <c r="ULM38" s="188"/>
      <c r="ULN38" s="188"/>
      <c r="ULO38" s="188"/>
      <c r="ULP38" s="188"/>
      <c r="ULQ38" s="188"/>
      <c r="ULR38" s="188"/>
      <c r="ULS38" s="188"/>
      <c r="ULT38" s="188"/>
      <c r="ULU38" s="188"/>
      <c r="ULV38" s="188"/>
      <c r="ULW38" s="188"/>
      <c r="ULX38" s="188"/>
      <c r="ULY38" s="188"/>
      <c r="ULZ38" s="188"/>
      <c r="UMA38" s="188"/>
      <c r="UMB38" s="188"/>
      <c r="UMC38" s="188"/>
      <c r="UMD38" s="188"/>
      <c r="UME38" s="188"/>
      <c r="UMF38" s="188"/>
      <c r="UMG38" s="188"/>
      <c r="UMH38" s="188"/>
      <c r="UMI38" s="188"/>
      <c r="UMJ38" s="188"/>
      <c r="UMK38" s="188"/>
      <c r="UML38" s="188"/>
      <c r="UMM38" s="188"/>
      <c r="UMN38" s="188"/>
      <c r="UMO38" s="188"/>
      <c r="UMP38" s="188"/>
      <c r="UMQ38" s="188"/>
      <c r="UMR38" s="188"/>
      <c r="UMS38" s="188"/>
      <c r="UMT38" s="188"/>
      <c r="UMU38" s="188"/>
      <c r="UMV38" s="188"/>
      <c r="UMW38" s="188"/>
      <c r="UMX38" s="188"/>
      <c r="UMY38" s="188"/>
      <c r="UMZ38" s="188"/>
      <c r="UNA38" s="188"/>
      <c r="UNB38" s="188"/>
      <c r="UNC38" s="188"/>
      <c r="UND38" s="188"/>
      <c r="UNE38" s="188"/>
      <c r="UNF38" s="188"/>
      <c r="UNG38" s="188"/>
      <c r="UNH38" s="188"/>
      <c r="UNI38" s="188"/>
      <c r="UNJ38" s="188"/>
      <c r="UNK38" s="188"/>
      <c r="UNL38" s="188"/>
      <c r="UNM38" s="188"/>
      <c r="UNN38" s="188"/>
      <c r="UNO38" s="188"/>
      <c r="UNP38" s="188"/>
      <c r="UNQ38" s="188"/>
      <c r="UNR38" s="188"/>
      <c r="UNS38" s="188"/>
      <c r="UNT38" s="188"/>
      <c r="UNU38" s="188"/>
      <c r="UNV38" s="188"/>
      <c r="UNW38" s="188"/>
      <c r="UNX38" s="188"/>
      <c r="UNY38" s="188"/>
      <c r="UNZ38" s="188"/>
      <c r="UOA38" s="188"/>
      <c r="UOB38" s="188"/>
      <c r="UOC38" s="188"/>
      <c r="UOD38" s="188"/>
      <c r="UOE38" s="188"/>
      <c r="UOF38" s="188"/>
      <c r="UOG38" s="188"/>
      <c r="UOH38" s="188"/>
      <c r="UOI38" s="188"/>
      <c r="UOJ38" s="188"/>
      <c r="UOM38" s="188"/>
      <c r="UOP38" s="188"/>
      <c r="UOS38" s="188"/>
      <c r="UOT38" s="188"/>
      <c r="UOU38" s="188"/>
      <c r="UOV38" s="188"/>
      <c r="UOW38" s="188"/>
      <c r="UOX38" s="188"/>
      <c r="UOY38" s="188"/>
      <c r="UOZ38" s="188"/>
      <c r="UPA38" s="188"/>
      <c r="UPC38" s="188"/>
      <c r="UPD38" s="188"/>
      <c r="UPE38" s="188"/>
      <c r="UPF38" s="188"/>
      <c r="UPG38" s="188"/>
      <c r="UPH38" s="188"/>
      <c r="UPI38" s="188"/>
      <c r="UPJ38" s="188"/>
      <c r="UPK38" s="188"/>
      <c r="UPL38" s="188"/>
      <c r="UPM38" s="188"/>
      <c r="UPN38" s="188"/>
      <c r="UPO38" s="188"/>
      <c r="UPP38" s="188"/>
      <c r="UPQ38" s="188"/>
      <c r="UPR38" s="188"/>
      <c r="UPS38" s="188"/>
      <c r="UPT38" s="188"/>
      <c r="UPU38" s="188"/>
      <c r="UPV38" s="188"/>
      <c r="UPW38" s="188"/>
      <c r="UPX38" s="188"/>
      <c r="UPY38" s="188"/>
      <c r="UPZ38" s="188"/>
      <c r="UQA38" s="188"/>
      <c r="UQB38" s="188"/>
      <c r="UQC38" s="188"/>
      <c r="UQD38" s="188"/>
      <c r="UQE38" s="188"/>
      <c r="UQF38" s="188"/>
      <c r="UQG38" s="188"/>
      <c r="UQH38" s="188"/>
      <c r="UQI38" s="188"/>
      <c r="UQJ38" s="188"/>
      <c r="UQK38" s="188"/>
      <c r="UQL38" s="188"/>
      <c r="UQM38" s="188"/>
      <c r="UQN38" s="188"/>
      <c r="UQO38" s="188"/>
      <c r="UQP38" s="188"/>
      <c r="UQQ38" s="188"/>
      <c r="UQR38" s="188"/>
      <c r="UQS38" s="188"/>
      <c r="UQT38" s="188"/>
      <c r="UQU38" s="188"/>
      <c r="UQV38" s="188"/>
      <c r="UQW38" s="188"/>
      <c r="UQX38" s="188"/>
      <c r="UQY38" s="188"/>
      <c r="UQZ38" s="188"/>
      <c r="URA38" s="188"/>
      <c r="URB38" s="188"/>
      <c r="URC38" s="188"/>
      <c r="URD38" s="188"/>
      <c r="URE38" s="188"/>
      <c r="URF38" s="188"/>
      <c r="URG38" s="188"/>
      <c r="URH38" s="188"/>
      <c r="URI38" s="188"/>
      <c r="URJ38" s="188"/>
      <c r="URK38" s="188"/>
      <c r="URL38" s="188"/>
      <c r="URM38" s="188"/>
      <c r="URN38" s="188"/>
      <c r="URO38" s="188"/>
      <c r="URP38" s="188"/>
      <c r="URQ38" s="188"/>
      <c r="URR38" s="188"/>
      <c r="URS38" s="188"/>
      <c r="URT38" s="188"/>
      <c r="URU38" s="188"/>
      <c r="URV38" s="188"/>
      <c r="URW38" s="188"/>
      <c r="URX38" s="188"/>
      <c r="URY38" s="188"/>
      <c r="URZ38" s="188"/>
      <c r="USA38" s="188"/>
      <c r="USB38" s="188"/>
      <c r="USC38" s="188"/>
      <c r="USD38" s="188"/>
      <c r="USE38" s="188"/>
      <c r="USF38" s="188"/>
      <c r="USG38" s="188"/>
      <c r="USH38" s="188"/>
      <c r="USI38" s="188"/>
      <c r="USJ38" s="188"/>
      <c r="USK38" s="188"/>
      <c r="USL38" s="188"/>
      <c r="USM38" s="188"/>
      <c r="USN38" s="188"/>
      <c r="USO38" s="188"/>
      <c r="USP38" s="188"/>
      <c r="USQ38" s="188"/>
      <c r="USR38" s="188"/>
      <c r="USS38" s="188"/>
      <c r="UST38" s="188"/>
      <c r="USU38" s="188"/>
      <c r="USV38" s="188"/>
      <c r="USW38" s="188"/>
      <c r="USX38" s="188"/>
      <c r="USY38" s="188"/>
      <c r="USZ38" s="188"/>
      <c r="UTA38" s="188"/>
      <c r="UTB38" s="188"/>
      <c r="UTC38" s="188"/>
      <c r="UTD38" s="188"/>
      <c r="UTE38" s="188"/>
      <c r="UTF38" s="188"/>
      <c r="UTG38" s="188"/>
      <c r="UTH38" s="188"/>
      <c r="UTI38" s="188"/>
      <c r="UTJ38" s="188"/>
      <c r="UTK38" s="188"/>
      <c r="UTL38" s="188"/>
      <c r="UTM38" s="188"/>
      <c r="UTN38" s="188"/>
      <c r="UTO38" s="188"/>
      <c r="UTP38" s="188"/>
      <c r="UTQ38" s="188"/>
      <c r="UTR38" s="188"/>
      <c r="UTS38" s="188"/>
      <c r="UTT38" s="188"/>
      <c r="UTU38" s="188"/>
      <c r="UTV38" s="188"/>
      <c r="UTW38" s="188"/>
      <c r="UTX38" s="188"/>
      <c r="UTY38" s="188"/>
      <c r="UTZ38" s="188"/>
      <c r="UUA38" s="188"/>
      <c r="UUB38" s="188"/>
      <c r="UUC38" s="188"/>
      <c r="UUD38" s="188"/>
      <c r="UUE38" s="188"/>
      <c r="UUF38" s="188"/>
      <c r="UUG38" s="188"/>
      <c r="UUH38" s="188"/>
      <c r="UUI38" s="188"/>
      <c r="UUJ38" s="188"/>
      <c r="UUK38" s="188"/>
      <c r="UUL38" s="188"/>
      <c r="UUM38" s="188"/>
      <c r="UUN38" s="188"/>
      <c r="UUO38" s="188"/>
      <c r="UUP38" s="188"/>
      <c r="UUQ38" s="188"/>
      <c r="UUR38" s="188"/>
      <c r="UUS38" s="188"/>
      <c r="UUT38" s="188"/>
      <c r="UUU38" s="188"/>
      <c r="UUV38" s="188"/>
      <c r="UUW38" s="188"/>
      <c r="UUX38" s="188"/>
      <c r="UUY38" s="188"/>
      <c r="UUZ38" s="188"/>
      <c r="UVA38" s="188"/>
      <c r="UVB38" s="188"/>
      <c r="UVC38" s="188"/>
      <c r="UVD38" s="188"/>
      <c r="UVE38" s="188"/>
      <c r="UVF38" s="188"/>
      <c r="UVG38" s="188"/>
      <c r="UVH38" s="188"/>
      <c r="UVI38" s="188"/>
      <c r="UVJ38" s="188"/>
      <c r="UVK38" s="188"/>
      <c r="UVL38" s="188"/>
      <c r="UVM38" s="188"/>
      <c r="UVN38" s="188"/>
      <c r="UVO38" s="188"/>
      <c r="UVP38" s="188"/>
      <c r="UVQ38" s="188"/>
      <c r="UVR38" s="188"/>
      <c r="UVS38" s="188"/>
      <c r="UVT38" s="188"/>
      <c r="UVU38" s="188"/>
      <c r="UVV38" s="188"/>
      <c r="UVW38" s="188"/>
      <c r="UVX38" s="188"/>
      <c r="UVY38" s="188"/>
      <c r="UVZ38" s="188"/>
      <c r="UWA38" s="188"/>
      <c r="UWB38" s="188"/>
      <c r="UWC38" s="188"/>
      <c r="UWD38" s="188"/>
      <c r="UWE38" s="188"/>
      <c r="UWF38" s="188"/>
      <c r="UWG38" s="188"/>
      <c r="UWH38" s="188"/>
      <c r="UWI38" s="188"/>
      <c r="UWJ38" s="188"/>
      <c r="UWK38" s="188"/>
      <c r="UWL38" s="188"/>
      <c r="UWM38" s="188"/>
      <c r="UWN38" s="188"/>
      <c r="UWO38" s="188"/>
      <c r="UWP38" s="188"/>
      <c r="UWQ38" s="188"/>
      <c r="UWR38" s="188"/>
      <c r="UWS38" s="188"/>
      <c r="UWT38" s="188"/>
      <c r="UWU38" s="188"/>
      <c r="UWV38" s="188"/>
      <c r="UWW38" s="188"/>
      <c r="UWX38" s="188"/>
      <c r="UWY38" s="188"/>
      <c r="UWZ38" s="188"/>
      <c r="UXA38" s="188"/>
      <c r="UXB38" s="188"/>
      <c r="UXC38" s="188"/>
      <c r="UXD38" s="188"/>
      <c r="UXE38" s="188"/>
      <c r="UXF38" s="188"/>
      <c r="UXG38" s="188"/>
      <c r="UXH38" s="188"/>
      <c r="UXI38" s="188"/>
      <c r="UXJ38" s="188"/>
      <c r="UXK38" s="188"/>
      <c r="UXL38" s="188"/>
      <c r="UXM38" s="188"/>
      <c r="UXN38" s="188"/>
      <c r="UXO38" s="188"/>
      <c r="UXP38" s="188"/>
      <c r="UXQ38" s="188"/>
      <c r="UXR38" s="188"/>
      <c r="UXS38" s="188"/>
      <c r="UXT38" s="188"/>
      <c r="UXU38" s="188"/>
      <c r="UXV38" s="188"/>
      <c r="UXW38" s="188"/>
      <c r="UXX38" s="188"/>
      <c r="UXY38" s="188"/>
      <c r="UXZ38" s="188"/>
      <c r="UYA38" s="188"/>
      <c r="UYB38" s="188"/>
      <c r="UYC38" s="188"/>
      <c r="UYD38" s="188"/>
      <c r="UYE38" s="188"/>
      <c r="UYF38" s="188"/>
      <c r="UYI38" s="188"/>
      <c r="UYL38" s="188"/>
      <c r="UYO38" s="188"/>
      <c r="UYP38" s="188"/>
      <c r="UYQ38" s="188"/>
      <c r="UYR38" s="188"/>
      <c r="UYS38" s="188"/>
      <c r="UYT38" s="188"/>
      <c r="UYU38" s="188"/>
      <c r="UYV38" s="188"/>
      <c r="UYW38" s="188"/>
      <c r="UYY38" s="188"/>
      <c r="UYZ38" s="188"/>
      <c r="UZA38" s="188"/>
      <c r="UZB38" s="188"/>
      <c r="UZC38" s="188"/>
      <c r="UZD38" s="188"/>
      <c r="UZE38" s="188"/>
      <c r="UZF38" s="188"/>
      <c r="UZG38" s="188"/>
      <c r="UZH38" s="188"/>
      <c r="UZI38" s="188"/>
      <c r="UZJ38" s="188"/>
      <c r="UZK38" s="188"/>
      <c r="UZL38" s="188"/>
      <c r="UZM38" s="188"/>
      <c r="UZN38" s="188"/>
      <c r="UZO38" s="188"/>
      <c r="UZP38" s="188"/>
      <c r="UZQ38" s="188"/>
      <c r="UZR38" s="188"/>
      <c r="UZS38" s="188"/>
      <c r="UZT38" s="188"/>
      <c r="UZU38" s="188"/>
      <c r="UZV38" s="188"/>
      <c r="UZW38" s="188"/>
      <c r="UZX38" s="188"/>
      <c r="UZY38" s="188"/>
      <c r="UZZ38" s="188"/>
      <c r="VAA38" s="188"/>
      <c r="VAB38" s="188"/>
      <c r="VAC38" s="188"/>
      <c r="VAD38" s="188"/>
      <c r="VAE38" s="188"/>
      <c r="VAF38" s="188"/>
      <c r="VAG38" s="188"/>
      <c r="VAH38" s="188"/>
      <c r="VAI38" s="188"/>
      <c r="VAJ38" s="188"/>
      <c r="VAK38" s="188"/>
      <c r="VAL38" s="188"/>
      <c r="VAM38" s="188"/>
      <c r="VAN38" s="188"/>
      <c r="VAO38" s="188"/>
      <c r="VAP38" s="188"/>
      <c r="VAQ38" s="188"/>
      <c r="VAR38" s="188"/>
      <c r="VAS38" s="188"/>
      <c r="VAT38" s="188"/>
      <c r="VAU38" s="188"/>
      <c r="VAV38" s="188"/>
      <c r="VAW38" s="188"/>
      <c r="VAX38" s="188"/>
      <c r="VAY38" s="188"/>
      <c r="VAZ38" s="188"/>
      <c r="VBA38" s="188"/>
      <c r="VBB38" s="188"/>
      <c r="VBC38" s="188"/>
      <c r="VBD38" s="188"/>
      <c r="VBE38" s="188"/>
      <c r="VBF38" s="188"/>
      <c r="VBG38" s="188"/>
      <c r="VBH38" s="188"/>
      <c r="VBI38" s="188"/>
      <c r="VBJ38" s="188"/>
      <c r="VBK38" s="188"/>
      <c r="VBL38" s="188"/>
      <c r="VBM38" s="188"/>
      <c r="VBN38" s="188"/>
      <c r="VBO38" s="188"/>
      <c r="VBP38" s="188"/>
      <c r="VBQ38" s="188"/>
      <c r="VBR38" s="188"/>
      <c r="VBS38" s="188"/>
      <c r="VBT38" s="188"/>
      <c r="VBU38" s="188"/>
      <c r="VBV38" s="188"/>
      <c r="VBW38" s="188"/>
      <c r="VBX38" s="188"/>
      <c r="VBY38" s="188"/>
      <c r="VBZ38" s="188"/>
      <c r="VCA38" s="188"/>
      <c r="VCB38" s="188"/>
      <c r="VCC38" s="188"/>
      <c r="VCD38" s="188"/>
      <c r="VCE38" s="188"/>
      <c r="VCF38" s="188"/>
      <c r="VCG38" s="188"/>
      <c r="VCH38" s="188"/>
      <c r="VCI38" s="188"/>
      <c r="VCJ38" s="188"/>
      <c r="VCK38" s="188"/>
      <c r="VCL38" s="188"/>
      <c r="VCM38" s="188"/>
      <c r="VCN38" s="188"/>
      <c r="VCO38" s="188"/>
      <c r="VCP38" s="188"/>
      <c r="VCQ38" s="188"/>
      <c r="VCR38" s="188"/>
      <c r="VCS38" s="188"/>
      <c r="VCT38" s="188"/>
      <c r="VCU38" s="188"/>
      <c r="VCV38" s="188"/>
      <c r="VCW38" s="188"/>
      <c r="VCX38" s="188"/>
      <c r="VCY38" s="188"/>
      <c r="VCZ38" s="188"/>
      <c r="VDA38" s="188"/>
      <c r="VDB38" s="188"/>
      <c r="VDC38" s="188"/>
      <c r="VDD38" s="188"/>
      <c r="VDE38" s="188"/>
      <c r="VDF38" s="188"/>
      <c r="VDG38" s="188"/>
      <c r="VDH38" s="188"/>
      <c r="VDI38" s="188"/>
      <c r="VDJ38" s="188"/>
      <c r="VDK38" s="188"/>
      <c r="VDL38" s="188"/>
      <c r="VDM38" s="188"/>
      <c r="VDN38" s="188"/>
      <c r="VDO38" s="188"/>
      <c r="VDP38" s="188"/>
      <c r="VDQ38" s="188"/>
      <c r="VDR38" s="188"/>
      <c r="VDS38" s="188"/>
      <c r="VDT38" s="188"/>
      <c r="VDU38" s="188"/>
      <c r="VDV38" s="188"/>
      <c r="VDW38" s="188"/>
      <c r="VDX38" s="188"/>
      <c r="VDY38" s="188"/>
      <c r="VDZ38" s="188"/>
      <c r="VEA38" s="188"/>
      <c r="VEB38" s="188"/>
      <c r="VEC38" s="188"/>
      <c r="VED38" s="188"/>
      <c r="VEE38" s="188"/>
      <c r="VEF38" s="188"/>
      <c r="VEG38" s="188"/>
      <c r="VEH38" s="188"/>
      <c r="VEI38" s="188"/>
      <c r="VEJ38" s="188"/>
      <c r="VEK38" s="188"/>
      <c r="VEL38" s="188"/>
      <c r="VEM38" s="188"/>
      <c r="VEN38" s="188"/>
      <c r="VEO38" s="188"/>
      <c r="VEP38" s="188"/>
      <c r="VEQ38" s="188"/>
      <c r="VER38" s="188"/>
      <c r="VES38" s="188"/>
      <c r="VET38" s="188"/>
      <c r="VEU38" s="188"/>
      <c r="VEV38" s="188"/>
      <c r="VEW38" s="188"/>
      <c r="VEX38" s="188"/>
      <c r="VEY38" s="188"/>
      <c r="VEZ38" s="188"/>
      <c r="VFA38" s="188"/>
      <c r="VFB38" s="188"/>
      <c r="VFC38" s="188"/>
      <c r="VFD38" s="188"/>
      <c r="VFE38" s="188"/>
      <c r="VFF38" s="188"/>
      <c r="VFG38" s="188"/>
      <c r="VFH38" s="188"/>
      <c r="VFI38" s="188"/>
      <c r="VFJ38" s="188"/>
      <c r="VFK38" s="188"/>
      <c r="VFL38" s="188"/>
      <c r="VFM38" s="188"/>
      <c r="VFN38" s="188"/>
      <c r="VFO38" s="188"/>
      <c r="VFP38" s="188"/>
      <c r="VFQ38" s="188"/>
      <c r="VFR38" s="188"/>
      <c r="VFS38" s="188"/>
      <c r="VFT38" s="188"/>
      <c r="VFU38" s="188"/>
      <c r="VFV38" s="188"/>
      <c r="VFW38" s="188"/>
      <c r="VFX38" s="188"/>
      <c r="VFY38" s="188"/>
      <c r="VFZ38" s="188"/>
      <c r="VGA38" s="188"/>
      <c r="VGB38" s="188"/>
      <c r="VGC38" s="188"/>
      <c r="VGD38" s="188"/>
      <c r="VGE38" s="188"/>
      <c r="VGF38" s="188"/>
      <c r="VGG38" s="188"/>
      <c r="VGH38" s="188"/>
      <c r="VGI38" s="188"/>
      <c r="VGJ38" s="188"/>
      <c r="VGK38" s="188"/>
      <c r="VGL38" s="188"/>
      <c r="VGM38" s="188"/>
      <c r="VGN38" s="188"/>
      <c r="VGO38" s="188"/>
      <c r="VGP38" s="188"/>
      <c r="VGQ38" s="188"/>
      <c r="VGR38" s="188"/>
      <c r="VGS38" s="188"/>
      <c r="VGT38" s="188"/>
      <c r="VGU38" s="188"/>
      <c r="VGV38" s="188"/>
      <c r="VGW38" s="188"/>
      <c r="VGX38" s="188"/>
      <c r="VGY38" s="188"/>
      <c r="VGZ38" s="188"/>
      <c r="VHA38" s="188"/>
      <c r="VHB38" s="188"/>
      <c r="VHC38" s="188"/>
      <c r="VHD38" s="188"/>
      <c r="VHE38" s="188"/>
      <c r="VHF38" s="188"/>
      <c r="VHG38" s="188"/>
      <c r="VHH38" s="188"/>
      <c r="VHI38" s="188"/>
      <c r="VHJ38" s="188"/>
      <c r="VHK38" s="188"/>
      <c r="VHL38" s="188"/>
      <c r="VHM38" s="188"/>
      <c r="VHN38" s="188"/>
      <c r="VHO38" s="188"/>
      <c r="VHP38" s="188"/>
      <c r="VHQ38" s="188"/>
      <c r="VHR38" s="188"/>
      <c r="VHS38" s="188"/>
      <c r="VHT38" s="188"/>
      <c r="VHU38" s="188"/>
      <c r="VHV38" s="188"/>
      <c r="VHW38" s="188"/>
      <c r="VHX38" s="188"/>
      <c r="VHY38" s="188"/>
      <c r="VHZ38" s="188"/>
      <c r="VIA38" s="188"/>
      <c r="VIB38" s="188"/>
      <c r="VIE38" s="188"/>
      <c r="VIH38" s="188"/>
      <c r="VIK38" s="188"/>
      <c r="VIL38" s="188"/>
      <c r="VIM38" s="188"/>
      <c r="VIN38" s="188"/>
      <c r="VIO38" s="188"/>
      <c r="VIP38" s="188"/>
      <c r="VIQ38" s="188"/>
      <c r="VIR38" s="188"/>
      <c r="VIS38" s="188"/>
      <c r="VIU38" s="188"/>
      <c r="VIV38" s="188"/>
      <c r="VIW38" s="188"/>
      <c r="VIX38" s="188"/>
      <c r="VIY38" s="188"/>
      <c r="VIZ38" s="188"/>
      <c r="VJA38" s="188"/>
      <c r="VJB38" s="188"/>
      <c r="VJC38" s="188"/>
      <c r="VJD38" s="188"/>
      <c r="VJE38" s="188"/>
      <c r="VJF38" s="188"/>
      <c r="VJG38" s="188"/>
      <c r="VJH38" s="188"/>
      <c r="VJI38" s="188"/>
      <c r="VJJ38" s="188"/>
      <c r="VJK38" s="188"/>
      <c r="VJL38" s="188"/>
      <c r="VJM38" s="188"/>
      <c r="VJN38" s="188"/>
      <c r="VJO38" s="188"/>
      <c r="VJP38" s="188"/>
      <c r="VJQ38" s="188"/>
      <c r="VJR38" s="188"/>
      <c r="VJS38" s="188"/>
      <c r="VJT38" s="188"/>
      <c r="VJU38" s="188"/>
      <c r="VJV38" s="188"/>
      <c r="VJW38" s="188"/>
      <c r="VJX38" s="188"/>
      <c r="VJY38" s="188"/>
      <c r="VJZ38" s="188"/>
      <c r="VKA38" s="188"/>
      <c r="VKB38" s="188"/>
      <c r="VKC38" s="188"/>
      <c r="VKD38" s="188"/>
      <c r="VKE38" s="188"/>
      <c r="VKF38" s="188"/>
      <c r="VKG38" s="188"/>
      <c r="VKH38" s="188"/>
      <c r="VKI38" s="188"/>
      <c r="VKJ38" s="188"/>
      <c r="VKK38" s="188"/>
      <c r="VKL38" s="188"/>
      <c r="VKM38" s="188"/>
      <c r="VKN38" s="188"/>
      <c r="VKO38" s="188"/>
      <c r="VKP38" s="188"/>
      <c r="VKQ38" s="188"/>
      <c r="VKR38" s="188"/>
      <c r="VKS38" s="188"/>
      <c r="VKT38" s="188"/>
      <c r="VKU38" s="188"/>
      <c r="VKV38" s="188"/>
      <c r="VKW38" s="188"/>
      <c r="VKX38" s="188"/>
      <c r="VKY38" s="188"/>
      <c r="VKZ38" s="188"/>
      <c r="VLA38" s="188"/>
      <c r="VLB38" s="188"/>
      <c r="VLC38" s="188"/>
      <c r="VLD38" s="188"/>
      <c r="VLE38" s="188"/>
      <c r="VLF38" s="188"/>
      <c r="VLG38" s="188"/>
      <c r="VLH38" s="188"/>
      <c r="VLI38" s="188"/>
      <c r="VLJ38" s="188"/>
      <c r="VLK38" s="188"/>
      <c r="VLL38" s="188"/>
      <c r="VLM38" s="188"/>
      <c r="VLN38" s="188"/>
      <c r="VLO38" s="188"/>
      <c r="VLP38" s="188"/>
      <c r="VLQ38" s="188"/>
      <c r="VLR38" s="188"/>
      <c r="VLS38" s="188"/>
      <c r="VLT38" s="188"/>
      <c r="VLU38" s="188"/>
      <c r="VLV38" s="188"/>
      <c r="VLW38" s="188"/>
      <c r="VLX38" s="188"/>
      <c r="VLY38" s="188"/>
      <c r="VLZ38" s="188"/>
      <c r="VMA38" s="188"/>
      <c r="VMB38" s="188"/>
      <c r="VMC38" s="188"/>
      <c r="VMD38" s="188"/>
      <c r="VME38" s="188"/>
      <c r="VMF38" s="188"/>
      <c r="VMG38" s="188"/>
      <c r="VMH38" s="188"/>
      <c r="VMI38" s="188"/>
      <c r="VMJ38" s="188"/>
      <c r="VMK38" s="188"/>
      <c r="VML38" s="188"/>
      <c r="VMM38" s="188"/>
      <c r="VMN38" s="188"/>
      <c r="VMO38" s="188"/>
      <c r="VMP38" s="188"/>
      <c r="VMQ38" s="188"/>
      <c r="VMR38" s="188"/>
      <c r="VMS38" s="188"/>
      <c r="VMT38" s="188"/>
      <c r="VMU38" s="188"/>
      <c r="VMV38" s="188"/>
      <c r="VMW38" s="188"/>
      <c r="VMX38" s="188"/>
      <c r="VMY38" s="188"/>
      <c r="VMZ38" s="188"/>
      <c r="VNA38" s="188"/>
      <c r="VNB38" s="188"/>
      <c r="VNC38" s="188"/>
      <c r="VND38" s="188"/>
      <c r="VNE38" s="188"/>
      <c r="VNF38" s="188"/>
      <c r="VNG38" s="188"/>
      <c r="VNH38" s="188"/>
      <c r="VNI38" s="188"/>
      <c r="VNJ38" s="188"/>
      <c r="VNK38" s="188"/>
      <c r="VNL38" s="188"/>
      <c r="VNM38" s="188"/>
      <c r="VNN38" s="188"/>
      <c r="VNO38" s="188"/>
      <c r="VNP38" s="188"/>
      <c r="VNQ38" s="188"/>
      <c r="VNR38" s="188"/>
      <c r="VNS38" s="188"/>
      <c r="VNT38" s="188"/>
      <c r="VNU38" s="188"/>
      <c r="VNV38" s="188"/>
      <c r="VNW38" s="188"/>
      <c r="VNX38" s="188"/>
      <c r="VNY38" s="188"/>
      <c r="VNZ38" s="188"/>
      <c r="VOA38" s="188"/>
      <c r="VOB38" s="188"/>
      <c r="VOC38" s="188"/>
      <c r="VOD38" s="188"/>
      <c r="VOE38" s="188"/>
      <c r="VOF38" s="188"/>
      <c r="VOG38" s="188"/>
      <c r="VOH38" s="188"/>
      <c r="VOI38" s="188"/>
      <c r="VOJ38" s="188"/>
      <c r="VOK38" s="188"/>
      <c r="VOL38" s="188"/>
      <c r="VOM38" s="188"/>
      <c r="VON38" s="188"/>
      <c r="VOO38" s="188"/>
      <c r="VOP38" s="188"/>
      <c r="VOQ38" s="188"/>
      <c r="VOR38" s="188"/>
      <c r="VOS38" s="188"/>
      <c r="VOT38" s="188"/>
      <c r="VOU38" s="188"/>
      <c r="VOV38" s="188"/>
      <c r="VOW38" s="188"/>
      <c r="VOX38" s="188"/>
      <c r="VOY38" s="188"/>
      <c r="VOZ38" s="188"/>
      <c r="VPA38" s="188"/>
      <c r="VPB38" s="188"/>
      <c r="VPC38" s="188"/>
      <c r="VPD38" s="188"/>
      <c r="VPE38" s="188"/>
      <c r="VPF38" s="188"/>
      <c r="VPG38" s="188"/>
      <c r="VPH38" s="188"/>
      <c r="VPI38" s="188"/>
      <c r="VPJ38" s="188"/>
      <c r="VPK38" s="188"/>
      <c r="VPL38" s="188"/>
      <c r="VPM38" s="188"/>
      <c r="VPN38" s="188"/>
      <c r="VPO38" s="188"/>
      <c r="VPP38" s="188"/>
      <c r="VPQ38" s="188"/>
      <c r="VPR38" s="188"/>
      <c r="VPS38" s="188"/>
      <c r="VPT38" s="188"/>
      <c r="VPU38" s="188"/>
      <c r="VPV38" s="188"/>
      <c r="VPW38" s="188"/>
      <c r="VPX38" s="188"/>
      <c r="VPY38" s="188"/>
      <c r="VPZ38" s="188"/>
      <c r="VQA38" s="188"/>
      <c r="VQB38" s="188"/>
      <c r="VQC38" s="188"/>
      <c r="VQD38" s="188"/>
      <c r="VQE38" s="188"/>
      <c r="VQF38" s="188"/>
      <c r="VQG38" s="188"/>
      <c r="VQH38" s="188"/>
      <c r="VQI38" s="188"/>
      <c r="VQJ38" s="188"/>
      <c r="VQK38" s="188"/>
      <c r="VQL38" s="188"/>
      <c r="VQM38" s="188"/>
      <c r="VQN38" s="188"/>
      <c r="VQO38" s="188"/>
      <c r="VQP38" s="188"/>
      <c r="VQQ38" s="188"/>
      <c r="VQR38" s="188"/>
      <c r="VQS38" s="188"/>
      <c r="VQT38" s="188"/>
      <c r="VQU38" s="188"/>
      <c r="VQV38" s="188"/>
      <c r="VQW38" s="188"/>
      <c r="VQX38" s="188"/>
      <c r="VQY38" s="188"/>
      <c r="VQZ38" s="188"/>
      <c r="VRA38" s="188"/>
      <c r="VRB38" s="188"/>
      <c r="VRC38" s="188"/>
      <c r="VRD38" s="188"/>
      <c r="VRE38" s="188"/>
      <c r="VRF38" s="188"/>
      <c r="VRG38" s="188"/>
      <c r="VRH38" s="188"/>
      <c r="VRI38" s="188"/>
      <c r="VRJ38" s="188"/>
      <c r="VRK38" s="188"/>
      <c r="VRL38" s="188"/>
      <c r="VRM38" s="188"/>
      <c r="VRN38" s="188"/>
      <c r="VRO38" s="188"/>
      <c r="VRP38" s="188"/>
      <c r="VRQ38" s="188"/>
      <c r="VRR38" s="188"/>
      <c r="VRS38" s="188"/>
      <c r="VRT38" s="188"/>
      <c r="VRU38" s="188"/>
      <c r="VRV38" s="188"/>
      <c r="VRW38" s="188"/>
      <c r="VRX38" s="188"/>
      <c r="VSA38" s="188"/>
      <c r="VSD38" s="188"/>
      <c r="VSG38" s="188"/>
      <c r="VSH38" s="188"/>
      <c r="VSI38" s="188"/>
      <c r="VSJ38" s="188"/>
      <c r="VSK38" s="188"/>
      <c r="VSL38" s="188"/>
      <c r="VSM38" s="188"/>
      <c r="VSN38" s="188"/>
      <c r="VSO38" s="188"/>
      <c r="VSQ38" s="188"/>
      <c r="VSR38" s="188"/>
      <c r="VSS38" s="188"/>
      <c r="VST38" s="188"/>
      <c r="VSU38" s="188"/>
      <c r="VSV38" s="188"/>
      <c r="VSW38" s="188"/>
      <c r="VSX38" s="188"/>
      <c r="VSY38" s="188"/>
      <c r="VSZ38" s="188"/>
      <c r="VTA38" s="188"/>
      <c r="VTB38" s="188"/>
      <c r="VTC38" s="188"/>
      <c r="VTD38" s="188"/>
      <c r="VTE38" s="188"/>
      <c r="VTF38" s="188"/>
      <c r="VTG38" s="188"/>
      <c r="VTH38" s="188"/>
      <c r="VTI38" s="188"/>
      <c r="VTJ38" s="188"/>
      <c r="VTK38" s="188"/>
      <c r="VTL38" s="188"/>
      <c r="VTM38" s="188"/>
      <c r="VTN38" s="188"/>
      <c r="VTO38" s="188"/>
      <c r="VTP38" s="188"/>
      <c r="VTQ38" s="188"/>
      <c r="VTR38" s="188"/>
      <c r="VTS38" s="188"/>
      <c r="VTT38" s="188"/>
      <c r="VTU38" s="188"/>
      <c r="VTV38" s="188"/>
      <c r="VTW38" s="188"/>
      <c r="VTX38" s="188"/>
      <c r="VTY38" s="188"/>
      <c r="VTZ38" s="188"/>
      <c r="VUA38" s="188"/>
      <c r="VUB38" s="188"/>
      <c r="VUC38" s="188"/>
      <c r="VUD38" s="188"/>
      <c r="VUE38" s="188"/>
      <c r="VUF38" s="188"/>
      <c r="VUG38" s="188"/>
      <c r="VUH38" s="188"/>
      <c r="VUI38" s="188"/>
      <c r="VUJ38" s="188"/>
      <c r="VUK38" s="188"/>
      <c r="VUL38" s="188"/>
      <c r="VUM38" s="188"/>
      <c r="VUN38" s="188"/>
      <c r="VUO38" s="188"/>
      <c r="VUP38" s="188"/>
      <c r="VUQ38" s="188"/>
      <c r="VUR38" s="188"/>
      <c r="VUS38" s="188"/>
      <c r="VUT38" s="188"/>
      <c r="VUU38" s="188"/>
      <c r="VUV38" s="188"/>
      <c r="VUW38" s="188"/>
      <c r="VUX38" s="188"/>
      <c r="VUY38" s="188"/>
      <c r="VUZ38" s="188"/>
      <c r="VVA38" s="188"/>
      <c r="VVB38" s="188"/>
      <c r="VVC38" s="188"/>
      <c r="VVD38" s="188"/>
      <c r="VVE38" s="188"/>
      <c r="VVF38" s="188"/>
      <c r="VVG38" s="188"/>
      <c r="VVH38" s="188"/>
      <c r="VVI38" s="188"/>
      <c r="VVJ38" s="188"/>
      <c r="VVK38" s="188"/>
      <c r="VVL38" s="188"/>
      <c r="VVM38" s="188"/>
      <c r="VVN38" s="188"/>
      <c r="VVO38" s="188"/>
      <c r="VVP38" s="188"/>
      <c r="VVQ38" s="188"/>
      <c r="VVR38" s="188"/>
      <c r="VVS38" s="188"/>
      <c r="VVT38" s="188"/>
      <c r="VVU38" s="188"/>
      <c r="VVV38" s="188"/>
      <c r="VVW38" s="188"/>
      <c r="VVX38" s="188"/>
      <c r="VVY38" s="188"/>
      <c r="VVZ38" s="188"/>
      <c r="VWA38" s="188"/>
      <c r="VWB38" s="188"/>
      <c r="VWC38" s="188"/>
      <c r="VWD38" s="188"/>
      <c r="VWE38" s="188"/>
      <c r="VWF38" s="188"/>
      <c r="VWG38" s="188"/>
      <c r="VWH38" s="188"/>
      <c r="VWI38" s="188"/>
      <c r="VWJ38" s="188"/>
      <c r="VWK38" s="188"/>
      <c r="VWL38" s="188"/>
      <c r="VWM38" s="188"/>
      <c r="VWN38" s="188"/>
      <c r="VWO38" s="188"/>
      <c r="VWP38" s="188"/>
      <c r="VWQ38" s="188"/>
      <c r="VWR38" s="188"/>
      <c r="VWS38" s="188"/>
      <c r="VWT38" s="188"/>
      <c r="VWU38" s="188"/>
      <c r="VWV38" s="188"/>
      <c r="VWW38" s="188"/>
      <c r="VWX38" s="188"/>
      <c r="VWY38" s="188"/>
      <c r="VWZ38" s="188"/>
      <c r="VXA38" s="188"/>
      <c r="VXB38" s="188"/>
      <c r="VXC38" s="188"/>
      <c r="VXD38" s="188"/>
      <c r="VXE38" s="188"/>
      <c r="VXF38" s="188"/>
      <c r="VXG38" s="188"/>
      <c r="VXH38" s="188"/>
      <c r="VXI38" s="188"/>
      <c r="VXJ38" s="188"/>
      <c r="VXK38" s="188"/>
      <c r="VXL38" s="188"/>
      <c r="VXM38" s="188"/>
      <c r="VXN38" s="188"/>
      <c r="VXO38" s="188"/>
      <c r="VXP38" s="188"/>
      <c r="VXQ38" s="188"/>
      <c r="VXR38" s="188"/>
      <c r="VXS38" s="188"/>
      <c r="VXT38" s="188"/>
      <c r="VXU38" s="188"/>
      <c r="VXV38" s="188"/>
      <c r="VXW38" s="188"/>
      <c r="VXX38" s="188"/>
      <c r="VXY38" s="188"/>
      <c r="VXZ38" s="188"/>
      <c r="VYA38" s="188"/>
      <c r="VYB38" s="188"/>
      <c r="VYC38" s="188"/>
      <c r="VYD38" s="188"/>
      <c r="VYE38" s="188"/>
      <c r="VYF38" s="188"/>
      <c r="VYG38" s="188"/>
      <c r="VYH38" s="188"/>
      <c r="VYI38" s="188"/>
      <c r="VYJ38" s="188"/>
      <c r="VYK38" s="188"/>
      <c r="VYL38" s="188"/>
      <c r="VYM38" s="188"/>
      <c r="VYN38" s="188"/>
      <c r="VYO38" s="188"/>
      <c r="VYP38" s="188"/>
      <c r="VYQ38" s="188"/>
      <c r="VYR38" s="188"/>
      <c r="VYS38" s="188"/>
      <c r="VYT38" s="188"/>
      <c r="VYU38" s="188"/>
      <c r="VYV38" s="188"/>
      <c r="VYW38" s="188"/>
      <c r="VYX38" s="188"/>
      <c r="VYY38" s="188"/>
      <c r="VYZ38" s="188"/>
      <c r="VZA38" s="188"/>
      <c r="VZB38" s="188"/>
      <c r="VZC38" s="188"/>
      <c r="VZD38" s="188"/>
      <c r="VZE38" s="188"/>
      <c r="VZF38" s="188"/>
      <c r="VZG38" s="188"/>
      <c r="VZH38" s="188"/>
      <c r="VZI38" s="188"/>
      <c r="VZJ38" s="188"/>
      <c r="VZK38" s="188"/>
      <c r="VZL38" s="188"/>
      <c r="VZM38" s="188"/>
      <c r="VZN38" s="188"/>
      <c r="VZO38" s="188"/>
      <c r="VZP38" s="188"/>
      <c r="VZQ38" s="188"/>
      <c r="VZR38" s="188"/>
      <c r="VZS38" s="188"/>
      <c r="VZT38" s="188"/>
      <c r="VZU38" s="188"/>
      <c r="VZV38" s="188"/>
      <c r="VZW38" s="188"/>
      <c r="VZX38" s="188"/>
      <c r="VZY38" s="188"/>
      <c r="VZZ38" s="188"/>
      <c r="WAA38" s="188"/>
      <c r="WAB38" s="188"/>
      <c r="WAC38" s="188"/>
      <c r="WAD38" s="188"/>
      <c r="WAE38" s="188"/>
      <c r="WAF38" s="188"/>
      <c r="WAG38" s="188"/>
      <c r="WAH38" s="188"/>
      <c r="WAI38" s="188"/>
      <c r="WAJ38" s="188"/>
      <c r="WAK38" s="188"/>
      <c r="WAL38" s="188"/>
      <c r="WAM38" s="188"/>
      <c r="WAN38" s="188"/>
      <c r="WAO38" s="188"/>
      <c r="WAP38" s="188"/>
      <c r="WAQ38" s="188"/>
      <c r="WAR38" s="188"/>
      <c r="WAS38" s="188"/>
      <c r="WAT38" s="188"/>
      <c r="WAU38" s="188"/>
      <c r="WAV38" s="188"/>
      <c r="WAW38" s="188"/>
      <c r="WAX38" s="188"/>
      <c r="WAY38" s="188"/>
      <c r="WAZ38" s="188"/>
      <c r="WBA38" s="188"/>
      <c r="WBB38" s="188"/>
      <c r="WBC38" s="188"/>
      <c r="WBD38" s="188"/>
      <c r="WBE38" s="188"/>
      <c r="WBF38" s="188"/>
      <c r="WBG38" s="188"/>
      <c r="WBH38" s="188"/>
      <c r="WBI38" s="188"/>
      <c r="WBJ38" s="188"/>
      <c r="WBK38" s="188"/>
      <c r="WBL38" s="188"/>
      <c r="WBM38" s="188"/>
      <c r="WBN38" s="188"/>
      <c r="WBO38" s="188"/>
      <c r="WBP38" s="188"/>
      <c r="WBQ38" s="188"/>
      <c r="WBR38" s="188"/>
      <c r="WBS38" s="188"/>
      <c r="WBT38" s="188"/>
      <c r="WBW38" s="188"/>
      <c r="WBZ38" s="188"/>
      <c r="WCC38" s="188"/>
      <c r="WCD38" s="188"/>
      <c r="WCE38" s="188"/>
      <c r="WCF38" s="188"/>
      <c r="WCG38" s="188"/>
      <c r="WCH38" s="188"/>
      <c r="WCI38" s="188"/>
      <c r="WCJ38" s="188"/>
      <c r="WCK38" s="188"/>
      <c r="WCM38" s="188"/>
      <c r="WCN38" s="188"/>
      <c r="WCO38" s="188"/>
      <c r="WCP38" s="188"/>
      <c r="WCQ38" s="188"/>
      <c r="WCR38" s="188"/>
      <c r="WCS38" s="188"/>
      <c r="WCT38" s="188"/>
      <c r="WCU38" s="188"/>
      <c r="WCV38" s="188"/>
      <c r="WCW38" s="188"/>
      <c r="WCX38" s="188"/>
      <c r="WCY38" s="188"/>
      <c r="WCZ38" s="188"/>
      <c r="WDA38" s="188"/>
      <c r="WDB38" s="188"/>
      <c r="WDC38" s="188"/>
      <c r="WDD38" s="188"/>
      <c r="WDE38" s="188"/>
      <c r="WDF38" s="188"/>
      <c r="WDG38" s="188"/>
      <c r="WDH38" s="188"/>
      <c r="WDI38" s="188"/>
      <c r="WDJ38" s="188"/>
      <c r="WDK38" s="188"/>
      <c r="WDL38" s="188"/>
      <c r="WDM38" s="188"/>
      <c r="WDN38" s="188"/>
      <c r="WDO38" s="188"/>
      <c r="WDP38" s="188"/>
      <c r="WDQ38" s="188"/>
      <c r="WDR38" s="188"/>
      <c r="WDS38" s="188"/>
      <c r="WDT38" s="188"/>
      <c r="WDU38" s="188"/>
      <c r="WDV38" s="188"/>
      <c r="WDW38" s="188"/>
      <c r="WDX38" s="188"/>
      <c r="WDY38" s="188"/>
      <c r="WDZ38" s="188"/>
      <c r="WEA38" s="188"/>
      <c r="WEB38" s="188"/>
      <c r="WEC38" s="188"/>
      <c r="WED38" s="188"/>
      <c r="WEE38" s="188"/>
      <c r="WEF38" s="188"/>
      <c r="WEG38" s="188"/>
      <c r="WEH38" s="188"/>
      <c r="WEI38" s="188"/>
      <c r="WEJ38" s="188"/>
      <c r="WEK38" s="188"/>
      <c r="WEL38" s="188"/>
      <c r="WEM38" s="188"/>
      <c r="WEN38" s="188"/>
      <c r="WEO38" s="188"/>
      <c r="WEP38" s="188"/>
      <c r="WEQ38" s="188"/>
      <c r="WER38" s="188"/>
      <c r="WES38" s="188"/>
      <c r="WET38" s="188"/>
      <c r="WEU38" s="188"/>
      <c r="WEV38" s="188"/>
      <c r="WEW38" s="188"/>
      <c r="WEX38" s="188"/>
      <c r="WEY38" s="188"/>
      <c r="WEZ38" s="188"/>
      <c r="WFA38" s="188"/>
      <c r="WFB38" s="188"/>
      <c r="WFC38" s="188"/>
      <c r="WFD38" s="188"/>
      <c r="WFE38" s="188"/>
      <c r="WFF38" s="188"/>
      <c r="WFG38" s="188"/>
      <c r="WFH38" s="188"/>
      <c r="WFI38" s="188"/>
      <c r="WFJ38" s="188"/>
      <c r="WFK38" s="188"/>
      <c r="WFL38" s="188"/>
      <c r="WFM38" s="188"/>
      <c r="WFN38" s="188"/>
      <c r="WFO38" s="188"/>
      <c r="WFP38" s="188"/>
      <c r="WFQ38" s="188"/>
      <c r="WFR38" s="188"/>
      <c r="WFS38" s="188"/>
      <c r="WFT38" s="188"/>
      <c r="WFU38" s="188"/>
      <c r="WFV38" s="188"/>
      <c r="WFW38" s="188"/>
      <c r="WFX38" s="188"/>
      <c r="WFY38" s="188"/>
      <c r="WFZ38" s="188"/>
      <c r="WGA38" s="188"/>
      <c r="WGB38" s="188"/>
      <c r="WGC38" s="188"/>
      <c r="WGD38" s="188"/>
      <c r="WGE38" s="188"/>
      <c r="WGF38" s="188"/>
      <c r="WGG38" s="188"/>
      <c r="WGH38" s="188"/>
      <c r="WGI38" s="188"/>
      <c r="WGJ38" s="188"/>
      <c r="WGK38" s="188"/>
      <c r="WGL38" s="188"/>
      <c r="WGM38" s="188"/>
      <c r="WGN38" s="188"/>
      <c r="WGO38" s="188"/>
      <c r="WGP38" s="188"/>
      <c r="WGQ38" s="188"/>
      <c r="WGR38" s="188"/>
      <c r="WGS38" s="188"/>
      <c r="WGT38" s="188"/>
      <c r="WGU38" s="188"/>
      <c r="WGV38" s="188"/>
      <c r="WGW38" s="188"/>
      <c r="WGX38" s="188"/>
      <c r="WGY38" s="188"/>
      <c r="WGZ38" s="188"/>
      <c r="WHA38" s="188"/>
      <c r="WHB38" s="188"/>
      <c r="WHC38" s="188"/>
      <c r="WHD38" s="188"/>
      <c r="WHE38" s="188"/>
      <c r="WHF38" s="188"/>
      <c r="WHG38" s="188"/>
      <c r="WHH38" s="188"/>
      <c r="WHI38" s="188"/>
      <c r="WHJ38" s="188"/>
      <c r="WHK38" s="188"/>
      <c r="WHL38" s="188"/>
      <c r="WHM38" s="188"/>
      <c r="WHN38" s="188"/>
      <c r="WHO38" s="188"/>
      <c r="WHP38" s="188"/>
      <c r="WHQ38" s="188"/>
      <c r="WHR38" s="188"/>
      <c r="WHS38" s="188"/>
      <c r="WHT38" s="188"/>
      <c r="WHU38" s="188"/>
      <c r="WHV38" s="188"/>
      <c r="WHW38" s="188"/>
      <c r="WHX38" s="188"/>
      <c r="WHY38" s="188"/>
      <c r="WHZ38" s="188"/>
      <c r="WIA38" s="188"/>
      <c r="WIB38" s="188"/>
      <c r="WIC38" s="188"/>
      <c r="WID38" s="188"/>
      <c r="WIE38" s="188"/>
      <c r="WIF38" s="188"/>
      <c r="WIG38" s="188"/>
      <c r="WIH38" s="188"/>
      <c r="WII38" s="188"/>
      <c r="WIJ38" s="188"/>
      <c r="WIK38" s="188"/>
      <c r="WIL38" s="188"/>
      <c r="WIM38" s="188"/>
      <c r="WIN38" s="188"/>
      <c r="WIO38" s="188"/>
      <c r="WIP38" s="188"/>
      <c r="WIQ38" s="188"/>
      <c r="WIR38" s="188"/>
      <c r="WIS38" s="188"/>
      <c r="WIT38" s="188"/>
      <c r="WIU38" s="188"/>
      <c r="WIV38" s="188"/>
      <c r="WIW38" s="188"/>
      <c r="WIX38" s="188"/>
      <c r="WIY38" s="188"/>
      <c r="WIZ38" s="188"/>
      <c r="WJA38" s="188"/>
      <c r="WJB38" s="188"/>
      <c r="WJC38" s="188"/>
      <c r="WJD38" s="188"/>
      <c r="WJE38" s="188"/>
      <c r="WJF38" s="188"/>
      <c r="WJG38" s="188"/>
      <c r="WJH38" s="188"/>
      <c r="WJI38" s="188"/>
      <c r="WJJ38" s="188"/>
      <c r="WJK38" s="188"/>
      <c r="WJL38" s="188"/>
      <c r="WJM38" s="188"/>
      <c r="WJN38" s="188"/>
      <c r="WJO38" s="188"/>
      <c r="WJP38" s="188"/>
      <c r="WJQ38" s="188"/>
      <c r="WJR38" s="188"/>
      <c r="WJS38" s="188"/>
      <c r="WJT38" s="188"/>
      <c r="WJU38" s="188"/>
      <c r="WJV38" s="188"/>
      <c r="WJW38" s="188"/>
      <c r="WJX38" s="188"/>
      <c r="WJY38" s="188"/>
      <c r="WJZ38" s="188"/>
      <c r="WKA38" s="188"/>
      <c r="WKB38" s="188"/>
      <c r="WKC38" s="188"/>
      <c r="WKD38" s="188"/>
      <c r="WKE38" s="188"/>
      <c r="WKF38" s="188"/>
      <c r="WKG38" s="188"/>
      <c r="WKH38" s="188"/>
      <c r="WKI38" s="188"/>
      <c r="WKJ38" s="188"/>
      <c r="WKK38" s="188"/>
      <c r="WKL38" s="188"/>
      <c r="WKM38" s="188"/>
      <c r="WKN38" s="188"/>
      <c r="WKO38" s="188"/>
      <c r="WKP38" s="188"/>
      <c r="WKQ38" s="188"/>
      <c r="WKR38" s="188"/>
      <c r="WKS38" s="188"/>
      <c r="WKT38" s="188"/>
      <c r="WKU38" s="188"/>
      <c r="WKV38" s="188"/>
      <c r="WKW38" s="188"/>
      <c r="WKX38" s="188"/>
      <c r="WKY38" s="188"/>
      <c r="WKZ38" s="188"/>
      <c r="WLA38" s="188"/>
      <c r="WLB38" s="188"/>
      <c r="WLC38" s="188"/>
      <c r="WLD38" s="188"/>
      <c r="WLE38" s="188"/>
      <c r="WLF38" s="188"/>
      <c r="WLG38" s="188"/>
      <c r="WLH38" s="188"/>
      <c r="WLI38" s="188"/>
      <c r="WLJ38" s="188"/>
      <c r="WLK38" s="188"/>
      <c r="WLL38" s="188"/>
      <c r="WLM38" s="188"/>
      <c r="WLN38" s="188"/>
      <c r="WLO38" s="188"/>
      <c r="WLP38" s="188"/>
      <c r="WLS38" s="188"/>
      <c r="WLV38" s="188"/>
      <c r="WLY38" s="188"/>
      <c r="WLZ38" s="188"/>
      <c r="WMA38" s="188"/>
      <c r="WMB38" s="188"/>
      <c r="WMC38" s="188"/>
      <c r="WMD38" s="188"/>
      <c r="WME38" s="188"/>
      <c r="WMF38" s="188"/>
      <c r="WMG38" s="188"/>
      <c r="WMI38" s="188"/>
      <c r="WMJ38" s="188"/>
      <c r="WMK38" s="188"/>
      <c r="WML38" s="188"/>
      <c r="WMM38" s="188"/>
      <c r="WMN38" s="188"/>
      <c r="WMO38" s="188"/>
      <c r="WMP38" s="188"/>
      <c r="WMQ38" s="188"/>
      <c r="WMR38" s="188"/>
      <c r="WMS38" s="188"/>
      <c r="WMT38" s="188"/>
      <c r="WMU38" s="188"/>
      <c r="WMV38" s="188"/>
      <c r="WMW38" s="188"/>
      <c r="WMX38" s="188"/>
      <c r="WMY38" s="188"/>
      <c r="WMZ38" s="188"/>
      <c r="WNA38" s="188"/>
      <c r="WNB38" s="188"/>
      <c r="WNC38" s="188"/>
      <c r="WND38" s="188"/>
      <c r="WNE38" s="188"/>
      <c r="WNF38" s="188"/>
      <c r="WNG38" s="188"/>
      <c r="WNH38" s="188"/>
      <c r="WNI38" s="188"/>
      <c r="WNJ38" s="188"/>
      <c r="WNK38" s="188"/>
      <c r="WNL38" s="188"/>
      <c r="WNM38" s="188"/>
      <c r="WNN38" s="188"/>
      <c r="WNO38" s="188"/>
      <c r="WNP38" s="188"/>
      <c r="WNQ38" s="188"/>
      <c r="WNR38" s="188"/>
      <c r="WNS38" s="188"/>
      <c r="WNT38" s="188"/>
      <c r="WNU38" s="188"/>
      <c r="WNV38" s="188"/>
      <c r="WNW38" s="188"/>
      <c r="WNX38" s="188"/>
      <c r="WNY38" s="188"/>
      <c r="WNZ38" s="188"/>
      <c r="WOA38" s="188"/>
      <c r="WOB38" s="188"/>
      <c r="WOC38" s="188"/>
      <c r="WOD38" s="188"/>
      <c r="WOE38" s="188"/>
      <c r="WOF38" s="188"/>
      <c r="WOG38" s="188"/>
      <c r="WOH38" s="188"/>
      <c r="WOI38" s="188"/>
      <c r="WOJ38" s="188"/>
      <c r="WOK38" s="188"/>
      <c r="WOL38" s="188"/>
      <c r="WOM38" s="188"/>
      <c r="WON38" s="188"/>
      <c r="WOO38" s="188"/>
      <c r="WOP38" s="188"/>
      <c r="WOQ38" s="188"/>
      <c r="WOR38" s="188"/>
      <c r="WOS38" s="188"/>
      <c r="WOT38" s="188"/>
      <c r="WOU38" s="188"/>
      <c r="WOV38" s="188"/>
      <c r="WOW38" s="188"/>
      <c r="WOX38" s="188"/>
      <c r="WOY38" s="188"/>
      <c r="WOZ38" s="188"/>
      <c r="WPA38" s="188"/>
      <c r="WPB38" s="188"/>
      <c r="WPC38" s="188"/>
      <c r="WPD38" s="188"/>
      <c r="WPE38" s="188"/>
      <c r="WPF38" s="188"/>
      <c r="WPG38" s="188"/>
      <c r="WPH38" s="188"/>
      <c r="WPI38" s="188"/>
      <c r="WPJ38" s="188"/>
      <c r="WPK38" s="188"/>
      <c r="WPL38" s="188"/>
      <c r="WPM38" s="188"/>
      <c r="WPN38" s="188"/>
      <c r="WPO38" s="188"/>
      <c r="WPP38" s="188"/>
      <c r="WPQ38" s="188"/>
      <c r="WPR38" s="188"/>
      <c r="WPS38" s="188"/>
      <c r="WPT38" s="188"/>
      <c r="WPU38" s="188"/>
      <c r="WPV38" s="188"/>
      <c r="WPW38" s="188"/>
      <c r="WPX38" s="188"/>
      <c r="WPY38" s="188"/>
      <c r="WPZ38" s="188"/>
      <c r="WQA38" s="188"/>
      <c r="WQB38" s="188"/>
      <c r="WQC38" s="188"/>
      <c r="WQD38" s="188"/>
      <c r="WQE38" s="188"/>
      <c r="WQF38" s="188"/>
      <c r="WQG38" s="188"/>
      <c r="WQH38" s="188"/>
      <c r="WQI38" s="188"/>
      <c r="WQJ38" s="188"/>
      <c r="WQK38" s="188"/>
      <c r="WQL38" s="188"/>
      <c r="WQM38" s="188"/>
      <c r="WQN38" s="188"/>
      <c r="WQO38" s="188"/>
      <c r="WQP38" s="188"/>
      <c r="WQQ38" s="188"/>
      <c r="WQR38" s="188"/>
      <c r="WQS38" s="188"/>
      <c r="WQT38" s="188"/>
      <c r="WQU38" s="188"/>
      <c r="WQV38" s="188"/>
      <c r="WQW38" s="188"/>
      <c r="WQX38" s="188"/>
      <c r="WQY38" s="188"/>
      <c r="WQZ38" s="188"/>
      <c r="WRA38" s="188"/>
      <c r="WRB38" s="188"/>
      <c r="WRC38" s="188"/>
      <c r="WRD38" s="188"/>
      <c r="WRE38" s="188"/>
      <c r="WRF38" s="188"/>
      <c r="WRG38" s="188"/>
      <c r="WRH38" s="188"/>
      <c r="WRI38" s="188"/>
      <c r="WRJ38" s="188"/>
      <c r="WRK38" s="188"/>
      <c r="WRL38" s="188"/>
      <c r="WRM38" s="188"/>
      <c r="WRN38" s="188"/>
      <c r="WRO38" s="188"/>
      <c r="WRP38" s="188"/>
      <c r="WRQ38" s="188"/>
      <c r="WRR38" s="188"/>
      <c r="WRS38" s="188"/>
      <c r="WRT38" s="188"/>
      <c r="WRU38" s="188"/>
      <c r="WRV38" s="188"/>
      <c r="WRW38" s="188"/>
      <c r="WRX38" s="188"/>
      <c r="WRY38" s="188"/>
      <c r="WRZ38" s="188"/>
      <c r="WSA38" s="188"/>
      <c r="WSB38" s="188"/>
      <c r="WSC38" s="188"/>
      <c r="WSD38" s="188"/>
      <c r="WSE38" s="188"/>
      <c r="WSF38" s="188"/>
      <c r="WSG38" s="188"/>
      <c r="WSH38" s="188"/>
      <c r="WSI38" s="188"/>
      <c r="WSJ38" s="188"/>
      <c r="WSK38" s="188"/>
      <c r="WSL38" s="188"/>
      <c r="WSM38" s="188"/>
      <c r="WSN38" s="188"/>
      <c r="WSO38" s="188"/>
      <c r="WSP38" s="188"/>
      <c r="WSQ38" s="188"/>
      <c r="WSR38" s="188"/>
      <c r="WSS38" s="188"/>
      <c r="WST38" s="188"/>
      <c r="WSU38" s="188"/>
      <c r="WSV38" s="188"/>
      <c r="WSW38" s="188"/>
      <c r="WSX38" s="188"/>
      <c r="WSY38" s="188"/>
      <c r="WSZ38" s="188"/>
      <c r="WTA38" s="188"/>
      <c r="WTB38" s="188"/>
      <c r="WTC38" s="188"/>
      <c r="WTD38" s="188"/>
      <c r="WTE38" s="188"/>
      <c r="WTF38" s="188"/>
      <c r="WTG38" s="188"/>
      <c r="WTH38" s="188"/>
      <c r="WTI38" s="188"/>
      <c r="WTJ38" s="188"/>
      <c r="WTK38" s="188"/>
      <c r="WTL38" s="188"/>
      <c r="WTM38" s="188"/>
      <c r="WTN38" s="188"/>
      <c r="WTO38" s="188"/>
      <c r="WTP38" s="188"/>
      <c r="WTQ38" s="188"/>
      <c r="WTR38" s="188"/>
      <c r="WTS38" s="188"/>
      <c r="WTT38" s="188"/>
      <c r="WTU38" s="188"/>
      <c r="WTV38" s="188"/>
      <c r="WTW38" s="188"/>
      <c r="WTX38" s="188"/>
      <c r="WTY38" s="188"/>
      <c r="WTZ38" s="188"/>
      <c r="WUA38" s="188"/>
      <c r="WUB38" s="188"/>
      <c r="WUC38" s="188"/>
      <c r="WUD38" s="188"/>
      <c r="WUE38" s="188"/>
      <c r="WUF38" s="188"/>
      <c r="WUG38" s="188"/>
      <c r="WUH38" s="188"/>
      <c r="WUI38" s="188"/>
      <c r="WUJ38" s="188"/>
      <c r="WUK38" s="188"/>
      <c r="WUL38" s="188"/>
      <c r="WUM38" s="188"/>
      <c r="WUN38" s="188"/>
      <c r="WUO38" s="188"/>
      <c r="WUP38" s="188"/>
      <c r="WUQ38" s="188"/>
      <c r="WUR38" s="188"/>
      <c r="WUS38" s="188"/>
      <c r="WUT38" s="188"/>
      <c r="WUU38" s="188"/>
      <c r="WUV38" s="188"/>
      <c r="WUW38" s="188"/>
      <c r="WUX38" s="188"/>
      <c r="WUY38" s="188"/>
      <c r="WUZ38" s="188"/>
      <c r="WVA38" s="188"/>
      <c r="WVB38" s="188"/>
      <c r="WVC38" s="188"/>
      <c r="WVD38" s="188"/>
      <c r="WVE38" s="188"/>
      <c r="WVF38" s="188"/>
      <c r="WVG38" s="188"/>
      <c r="WVH38" s="188"/>
      <c r="WVI38" s="188"/>
      <c r="WVJ38" s="188"/>
      <c r="WVK38" s="188"/>
      <c r="WVL38" s="188"/>
      <c r="WVO38" s="188"/>
      <c r="WVR38" s="188"/>
      <c r="WVU38" s="188"/>
      <c r="WVV38" s="188"/>
      <c r="WVW38" s="188"/>
      <c r="WVX38" s="188"/>
      <c r="WVY38" s="188"/>
      <c r="WVZ38" s="188"/>
      <c r="WWA38" s="188"/>
      <c r="WWB38" s="188"/>
      <c r="WWC38" s="188"/>
      <c r="WWE38" s="188"/>
      <c r="WWF38" s="188"/>
      <c r="WWG38" s="188"/>
      <c r="WWH38" s="188"/>
      <c r="WWI38" s="188"/>
      <c r="WWJ38" s="188"/>
      <c r="WWK38" s="188"/>
      <c r="WWL38" s="188"/>
      <c r="WWM38" s="188"/>
      <c r="WWN38" s="188"/>
      <c r="WWO38" s="188"/>
      <c r="WWP38" s="188"/>
      <c r="WWQ38" s="188"/>
      <c r="WWR38" s="188"/>
      <c r="WWS38" s="188"/>
      <c r="WWT38" s="188"/>
      <c r="WWU38" s="188"/>
      <c r="WWV38" s="188"/>
      <c r="WWW38" s="188"/>
      <c r="WWX38" s="188"/>
      <c r="WWY38" s="188"/>
      <c r="WWZ38" s="188"/>
      <c r="WXA38" s="188"/>
      <c r="WXB38" s="188"/>
      <c r="WXC38" s="188"/>
      <c r="WXD38" s="188"/>
      <c r="WXE38" s="188"/>
      <c r="WXF38" s="188"/>
      <c r="WXG38" s="188"/>
      <c r="WXH38" s="188"/>
      <c r="WXI38" s="188"/>
      <c r="WXJ38" s="188"/>
      <c r="WXK38" s="188"/>
      <c r="WXL38" s="188"/>
      <c r="WXM38" s="188"/>
      <c r="WXN38" s="188"/>
      <c r="WXO38" s="188"/>
      <c r="WXP38" s="188"/>
      <c r="WXQ38" s="188"/>
      <c r="WXR38" s="188"/>
      <c r="WXS38" s="188"/>
      <c r="WXT38" s="188"/>
      <c r="WXU38" s="188"/>
      <c r="WXV38" s="188"/>
      <c r="WXW38" s="188"/>
      <c r="WXX38" s="188"/>
      <c r="WXY38" s="188"/>
      <c r="WXZ38" s="188"/>
      <c r="WYA38" s="188"/>
      <c r="WYB38" s="188"/>
      <c r="WYC38" s="188"/>
      <c r="WYD38" s="188"/>
      <c r="WYE38" s="188"/>
      <c r="WYF38" s="188"/>
      <c r="WYG38" s="188"/>
      <c r="WYH38" s="188"/>
      <c r="WYI38" s="188"/>
      <c r="WYJ38" s="188"/>
      <c r="WYK38" s="188"/>
      <c r="WYL38" s="188"/>
      <c r="WYM38" s="188"/>
      <c r="WYN38" s="188"/>
      <c r="WYO38" s="188"/>
      <c r="WYP38" s="188"/>
      <c r="WYQ38" s="188"/>
      <c r="WYR38" s="188"/>
      <c r="WYS38" s="188"/>
      <c r="WYT38" s="188"/>
      <c r="WYU38" s="188"/>
      <c r="WYV38" s="188"/>
      <c r="WYW38" s="188"/>
      <c r="WYX38" s="188"/>
      <c r="WYY38" s="188"/>
      <c r="WYZ38" s="188"/>
      <c r="WZA38" s="188"/>
      <c r="WZB38" s="188"/>
      <c r="WZC38" s="188"/>
      <c r="WZD38" s="188"/>
      <c r="WZE38" s="188"/>
      <c r="WZF38" s="188"/>
      <c r="WZG38" s="188"/>
      <c r="WZH38" s="188"/>
      <c r="WZI38" s="188"/>
      <c r="WZJ38" s="188"/>
      <c r="WZK38" s="188"/>
      <c r="WZL38" s="188"/>
      <c r="WZM38" s="188"/>
      <c r="WZN38" s="188"/>
      <c r="WZO38" s="188"/>
      <c r="WZP38" s="188"/>
      <c r="WZQ38" s="188"/>
      <c r="WZR38" s="188"/>
      <c r="WZS38" s="188"/>
      <c r="WZT38" s="188"/>
      <c r="WZU38" s="188"/>
      <c r="WZV38" s="188"/>
      <c r="WZW38" s="188"/>
      <c r="WZX38" s="188"/>
      <c r="WZY38" s="188"/>
      <c r="WZZ38" s="188"/>
      <c r="XAA38" s="188"/>
      <c r="XAB38" s="188"/>
      <c r="XAC38" s="188"/>
      <c r="XAD38" s="188"/>
      <c r="XAE38" s="188"/>
      <c r="XAF38" s="188"/>
      <c r="XAG38" s="188"/>
      <c r="XAH38" s="188"/>
      <c r="XAI38" s="188"/>
      <c r="XAJ38" s="188"/>
      <c r="XAK38" s="188"/>
      <c r="XAL38" s="188"/>
      <c r="XAM38" s="188"/>
      <c r="XAN38" s="188"/>
      <c r="XAO38" s="188"/>
      <c r="XAP38" s="188"/>
      <c r="XAQ38" s="188"/>
      <c r="XAR38" s="188"/>
      <c r="XAS38" s="188"/>
      <c r="XAT38" s="188"/>
      <c r="XAU38" s="188"/>
      <c r="XAV38" s="188"/>
      <c r="XAW38" s="188"/>
      <c r="XAX38" s="188"/>
      <c r="XAY38" s="188"/>
      <c r="XAZ38" s="188"/>
      <c r="XBA38" s="188"/>
      <c r="XBB38" s="188"/>
      <c r="XBC38" s="188"/>
      <c r="XBD38" s="188"/>
      <c r="XBE38" s="188"/>
      <c r="XBF38" s="188"/>
      <c r="XBG38" s="188"/>
      <c r="XBH38" s="188"/>
      <c r="XBI38" s="188"/>
      <c r="XBJ38" s="188"/>
      <c r="XBK38" s="188"/>
      <c r="XBL38" s="188"/>
      <c r="XBM38" s="188"/>
      <c r="XBN38" s="188"/>
      <c r="XBO38" s="188"/>
      <c r="XBP38" s="188"/>
      <c r="XBQ38" s="188"/>
      <c r="XBR38" s="188"/>
      <c r="XBS38" s="188"/>
      <c r="XBT38" s="188"/>
      <c r="XBU38" s="188"/>
      <c r="XBV38" s="188"/>
      <c r="XBW38" s="188"/>
      <c r="XBX38" s="188"/>
      <c r="XBY38" s="188"/>
      <c r="XBZ38" s="188"/>
      <c r="XCA38" s="188"/>
      <c r="XCB38" s="188"/>
      <c r="XCC38" s="188"/>
      <c r="XCD38" s="188"/>
      <c r="XCE38" s="188"/>
      <c r="XCF38" s="188"/>
      <c r="XCG38" s="188"/>
      <c r="XCH38" s="188"/>
      <c r="XCI38" s="188"/>
      <c r="XCJ38" s="188"/>
      <c r="XCK38" s="188"/>
      <c r="XCL38" s="188"/>
      <c r="XCM38" s="188"/>
      <c r="XCN38" s="188"/>
      <c r="XCO38" s="188"/>
      <c r="XCP38" s="188"/>
      <c r="XCQ38" s="188"/>
      <c r="XCR38" s="188"/>
      <c r="XCS38" s="188"/>
      <c r="XCT38" s="188"/>
      <c r="XCU38" s="188"/>
      <c r="XCV38" s="188"/>
      <c r="XCW38" s="188"/>
      <c r="XCX38" s="188"/>
      <c r="XCY38" s="188"/>
      <c r="XCZ38" s="188"/>
      <c r="XDA38" s="188"/>
      <c r="XDB38" s="188"/>
      <c r="XDC38" s="188"/>
      <c r="XDD38" s="188"/>
      <c r="XDE38" s="188"/>
      <c r="XDF38" s="188"/>
      <c r="XDG38" s="188"/>
      <c r="XDH38" s="188"/>
      <c r="XDI38" s="188"/>
      <c r="XDJ38" s="188"/>
      <c r="XDK38" s="188"/>
      <c r="XDL38" s="188"/>
      <c r="XDM38" s="188"/>
      <c r="XDN38" s="188"/>
      <c r="XDO38" s="188"/>
      <c r="XDP38" s="188"/>
      <c r="XDQ38" s="188"/>
      <c r="XDR38" s="188"/>
      <c r="XDS38" s="188"/>
      <c r="XDT38" s="188"/>
      <c r="XDU38" s="188"/>
      <c r="XDV38" s="188"/>
      <c r="XDW38" s="188"/>
      <c r="XDX38" s="188"/>
      <c r="XDY38" s="188"/>
      <c r="XDZ38" s="188"/>
      <c r="XEA38" s="188"/>
      <c r="XEB38" s="188"/>
      <c r="XEC38" s="188"/>
      <c r="XED38" s="188"/>
      <c r="XEE38" s="188"/>
      <c r="XEF38" s="188"/>
      <c r="XEG38" s="188"/>
      <c r="XEH38" s="188"/>
      <c r="XEI38" s="188"/>
      <c r="XEJ38" s="188"/>
      <c r="XEK38" s="188"/>
      <c r="XEL38" s="188"/>
      <c r="XEM38" s="188"/>
      <c r="XEN38" s="188"/>
      <c r="XEO38" s="188"/>
      <c r="XEP38" s="188"/>
      <c r="XEQ38" s="188"/>
      <c r="XER38" s="188"/>
      <c r="XES38" s="188"/>
      <c r="XET38" s="188"/>
      <c r="XEU38" s="188"/>
      <c r="XEV38" s="188"/>
      <c r="XEW38" s="188"/>
      <c r="XEX38" s="188"/>
      <c r="XEY38" s="188"/>
      <c r="XEZ38" s="188"/>
      <c r="XFA38" s="188"/>
      <c r="XFB38" s="188"/>
      <c r="XFC38" s="188"/>
      <c r="XFD38" s="188"/>
    </row>
    <row r="39" spans="1:16384" s="188" customFormat="1" ht="71.25">
      <c r="A39" s="504" t="s">
        <v>33</v>
      </c>
      <c r="B39" s="250">
        <v>43375</v>
      </c>
      <c r="C39" s="251" t="s">
        <v>1213</v>
      </c>
      <c r="D39" s="505" t="s">
        <v>127</v>
      </c>
      <c r="E39" s="506" t="s">
        <v>158</v>
      </c>
      <c r="F39" s="507" t="s">
        <v>159</v>
      </c>
      <c r="G39" s="210">
        <f t="shared" si="0"/>
        <v>1492190.22</v>
      </c>
      <c r="H39" s="211">
        <v>1492190.22</v>
      </c>
      <c r="I39" s="210">
        <f t="shared" si="1"/>
        <v>1492190.22</v>
      </c>
      <c r="J39" s="211">
        <f>1470710.96+21479.26</f>
        <v>1492190.22</v>
      </c>
      <c r="K39" s="210">
        <f t="shared" si="2"/>
        <v>0</v>
      </c>
      <c r="L39" s="508">
        <f t="shared" si="3"/>
        <v>0</v>
      </c>
      <c r="M39" s="509" t="s">
        <v>57</v>
      </c>
      <c r="N39" s="578">
        <f t="shared" si="4"/>
        <v>1</v>
      </c>
      <c r="O39" s="578">
        <v>1</v>
      </c>
      <c r="P39" s="510" t="s">
        <v>63</v>
      </c>
      <c r="Q39" s="212">
        <v>11176.85</v>
      </c>
      <c r="R39" s="511">
        <v>250000</v>
      </c>
      <c r="S39" s="512" t="s">
        <v>76</v>
      </c>
      <c r="T39" s="512" t="s">
        <v>332</v>
      </c>
      <c r="U39" s="513" t="s">
        <v>333</v>
      </c>
      <c r="V39" s="249"/>
      <c r="W39" s="249"/>
    </row>
    <row r="40" spans="1:16384" s="188" customFormat="1" ht="71.25">
      <c r="A40" s="504" t="s">
        <v>33</v>
      </c>
      <c r="B40" s="250">
        <v>43375</v>
      </c>
      <c r="C40" s="251" t="s">
        <v>1214</v>
      </c>
      <c r="D40" s="505" t="s">
        <v>127</v>
      </c>
      <c r="E40" s="506" t="s">
        <v>160</v>
      </c>
      <c r="F40" s="507" t="s">
        <v>161</v>
      </c>
      <c r="G40" s="210">
        <f t="shared" si="0"/>
        <v>1119515.53</v>
      </c>
      <c r="H40" s="211">
        <v>1119515.53</v>
      </c>
      <c r="I40" s="210">
        <f t="shared" si="1"/>
        <v>1119515.53</v>
      </c>
      <c r="J40" s="211">
        <f>1114137.49+5378.04</f>
        <v>1119515.53</v>
      </c>
      <c r="K40" s="210">
        <f t="shared" si="2"/>
        <v>0</v>
      </c>
      <c r="L40" s="508">
        <f t="shared" si="3"/>
        <v>0</v>
      </c>
      <c r="M40" s="509" t="s">
        <v>57</v>
      </c>
      <c r="N40" s="578">
        <f t="shared" si="4"/>
        <v>1</v>
      </c>
      <c r="O40" s="578">
        <v>1</v>
      </c>
      <c r="P40" s="510" t="s">
        <v>63</v>
      </c>
      <c r="Q40" s="212">
        <v>8206.9599999999991</v>
      </c>
      <c r="R40" s="511">
        <v>250000</v>
      </c>
      <c r="S40" s="512" t="s">
        <v>70</v>
      </c>
      <c r="T40" s="512" t="s">
        <v>332</v>
      </c>
      <c r="U40" s="513" t="s">
        <v>334</v>
      </c>
      <c r="V40" s="249"/>
      <c r="W40" s="249"/>
    </row>
    <row r="41" spans="1:16384" s="188" customFormat="1" ht="71.25">
      <c r="A41" s="504" t="s">
        <v>33</v>
      </c>
      <c r="B41" s="250">
        <v>43378</v>
      </c>
      <c r="C41" s="251" t="s">
        <v>1215</v>
      </c>
      <c r="D41" s="505" t="s">
        <v>127</v>
      </c>
      <c r="E41" s="506" t="s">
        <v>162</v>
      </c>
      <c r="F41" s="507" t="s">
        <v>163</v>
      </c>
      <c r="G41" s="210">
        <f t="shared" si="0"/>
        <v>766352.86</v>
      </c>
      <c r="H41" s="211">
        <v>766352.86</v>
      </c>
      <c r="I41" s="210">
        <f t="shared" si="1"/>
        <v>766352.86</v>
      </c>
      <c r="J41" s="211">
        <f>742264.83+24088.03</f>
        <v>766352.86</v>
      </c>
      <c r="K41" s="210">
        <f t="shared" si="2"/>
        <v>0</v>
      </c>
      <c r="L41" s="508">
        <f t="shared" si="3"/>
        <v>0</v>
      </c>
      <c r="M41" s="509" t="s">
        <v>57</v>
      </c>
      <c r="N41" s="578">
        <f t="shared" si="4"/>
        <v>1</v>
      </c>
      <c r="O41" s="578">
        <v>1</v>
      </c>
      <c r="P41" s="510" t="s">
        <v>63</v>
      </c>
      <c r="Q41" s="212">
        <v>5713.15</v>
      </c>
      <c r="R41" s="511">
        <v>250000</v>
      </c>
      <c r="S41" s="512" t="s">
        <v>70</v>
      </c>
      <c r="T41" s="512" t="s">
        <v>332</v>
      </c>
      <c r="U41" s="513" t="s">
        <v>335</v>
      </c>
      <c r="V41" s="249"/>
      <c r="W41" s="249"/>
    </row>
    <row r="42" spans="1:16384" s="188" customFormat="1" ht="85.5">
      <c r="A42" s="504" t="s">
        <v>33</v>
      </c>
      <c r="B42" s="250">
        <v>43354</v>
      </c>
      <c r="C42" s="251" t="s">
        <v>1216</v>
      </c>
      <c r="D42" s="505" t="s">
        <v>127</v>
      </c>
      <c r="E42" s="506" t="s">
        <v>164</v>
      </c>
      <c r="F42" s="507" t="s">
        <v>165</v>
      </c>
      <c r="G42" s="210">
        <f t="shared" si="0"/>
        <v>1049265.99</v>
      </c>
      <c r="H42" s="211">
        <v>1049265.99</v>
      </c>
      <c r="I42" s="210">
        <f t="shared" si="1"/>
        <v>1049265.99</v>
      </c>
      <c r="J42" s="211">
        <f>1009617.04+39648.95</f>
        <v>1049265.99</v>
      </c>
      <c r="K42" s="210">
        <f t="shared" si="2"/>
        <v>0</v>
      </c>
      <c r="L42" s="508">
        <f t="shared" si="3"/>
        <v>0</v>
      </c>
      <c r="M42" s="509" t="s">
        <v>57</v>
      </c>
      <c r="N42" s="578">
        <f t="shared" si="4"/>
        <v>1</v>
      </c>
      <c r="O42" s="578">
        <v>1</v>
      </c>
      <c r="P42" s="510" t="s">
        <v>63</v>
      </c>
      <c r="Q42" s="212">
        <v>6928.54</v>
      </c>
      <c r="R42" s="511">
        <v>797000</v>
      </c>
      <c r="S42" s="512" t="s">
        <v>70</v>
      </c>
      <c r="T42" s="512" t="s">
        <v>276</v>
      </c>
      <c r="U42" s="513" t="s">
        <v>277</v>
      </c>
      <c r="V42" s="249"/>
      <c r="W42" s="249"/>
    </row>
    <row r="43" spans="1:16384" s="188" customFormat="1" ht="57">
      <c r="A43" s="504" t="s">
        <v>33</v>
      </c>
      <c r="B43" s="250">
        <v>43342</v>
      </c>
      <c r="C43" s="251" t="s">
        <v>1217</v>
      </c>
      <c r="D43" s="505" t="s">
        <v>127</v>
      </c>
      <c r="E43" s="506" t="s">
        <v>166</v>
      </c>
      <c r="F43" s="507" t="s">
        <v>167</v>
      </c>
      <c r="G43" s="210">
        <f t="shared" si="0"/>
        <v>697567.26</v>
      </c>
      <c r="H43" s="211">
        <v>697567.26</v>
      </c>
      <c r="I43" s="210">
        <f t="shared" si="1"/>
        <v>697567.26</v>
      </c>
      <c r="J43" s="211">
        <f>209270.18+143128.9+331769.44+13398.74</f>
        <v>697567.26</v>
      </c>
      <c r="K43" s="210">
        <f t="shared" si="2"/>
        <v>0</v>
      </c>
      <c r="L43" s="508">
        <f t="shared" si="3"/>
        <v>0</v>
      </c>
      <c r="M43" s="509" t="s">
        <v>57</v>
      </c>
      <c r="N43" s="578">
        <f t="shared" si="4"/>
        <v>1</v>
      </c>
      <c r="O43" s="578">
        <v>1</v>
      </c>
      <c r="P43" s="510" t="s">
        <v>63</v>
      </c>
      <c r="Q43" s="212">
        <v>1236.1099999999999</v>
      </c>
      <c r="R43" s="511">
        <v>250000</v>
      </c>
      <c r="S43" s="512" t="s">
        <v>70</v>
      </c>
      <c r="T43" s="512" t="s">
        <v>209</v>
      </c>
      <c r="U43" s="513" t="s">
        <v>210</v>
      </c>
      <c r="V43" s="249"/>
      <c r="W43" s="249"/>
    </row>
    <row r="44" spans="1:16384" s="188" customFormat="1" ht="57">
      <c r="A44" s="504" t="s">
        <v>33</v>
      </c>
      <c r="B44" s="250">
        <v>43378</v>
      </c>
      <c r="C44" s="251" t="s">
        <v>1218</v>
      </c>
      <c r="D44" s="505" t="s">
        <v>127</v>
      </c>
      <c r="E44" s="506" t="s">
        <v>168</v>
      </c>
      <c r="F44" s="507" t="s">
        <v>169</v>
      </c>
      <c r="G44" s="210">
        <f t="shared" si="0"/>
        <v>1150000</v>
      </c>
      <c r="H44" s="211">
        <v>1150000</v>
      </c>
      <c r="I44" s="210">
        <f t="shared" si="1"/>
        <v>1149999.9999999998</v>
      </c>
      <c r="J44" s="211">
        <f>337477.51+190030.38+29236.33+556072.12+37183.66</f>
        <v>1149999.9999999998</v>
      </c>
      <c r="K44" s="210">
        <f t="shared" si="2"/>
        <v>0</v>
      </c>
      <c r="L44" s="508">
        <f t="shared" si="3"/>
        <v>0</v>
      </c>
      <c r="M44" s="509" t="s">
        <v>57</v>
      </c>
      <c r="N44" s="578">
        <f t="shared" si="4"/>
        <v>0.99999999999999978</v>
      </c>
      <c r="O44" s="578">
        <v>1</v>
      </c>
      <c r="P44" s="510" t="s">
        <v>63</v>
      </c>
      <c r="Q44" s="212">
        <v>2936.11</v>
      </c>
      <c r="R44" s="511">
        <v>250000</v>
      </c>
      <c r="S44" s="512" t="s">
        <v>70</v>
      </c>
      <c r="T44" s="512" t="s">
        <v>211</v>
      </c>
      <c r="U44" s="513" t="s">
        <v>212</v>
      </c>
      <c r="V44" s="249"/>
      <c r="W44" s="249"/>
    </row>
    <row r="45" spans="1:16384" s="188" customFormat="1" ht="57">
      <c r="A45" s="504" t="s">
        <v>33</v>
      </c>
      <c r="B45" s="250">
        <v>43335</v>
      </c>
      <c r="C45" s="251" t="s">
        <v>1219</v>
      </c>
      <c r="D45" s="505" t="s">
        <v>127</v>
      </c>
      <c r="E45" s="506" t="s">
        <v>170</v>
      </c>
      <c r="F45" s="507" t="s">
        <v>171</v>
      </c>
      <c r="G45" s="210">
        <f t="shared" si="0"/>
        <v>850000</v>
      </c>
      <c r="H45" s="211">
        <v>850000</v>
      </c>
      <c r="I45" s="210">
        <f t="shared" si="1"/>
        <v>850000</v>
      </c>
      <c r="J45" s="211">
        <f>247469.99+207539.66+358038.84+36951.51</f>
        <v>850000</v>
      </c>
      <c r="K45" s="210">
        <f t="shared" si="2"/>
        <v>0</v>
      </c>
      <c r="L45" s="508">
        <f t="shared" si="3"/>
        <v>0</v>
      </c>
      <c r="M45" s="509" t="s">
        <v>57</v>
      </c>
      <c r="N45" s="578">
        <f t="shared" si="4"/>
        <v>1</v>
      </c>
      <c r="O45" s="578">
        <v>1</v>
      </c>
      <c r="P45" s="510" t="s">
        <v>63</v>
      </c>
      <c r="Q45" s="212">
        <v>2322.1999999999998</v>
      </c>
      <c r="R45" s="511">
        <v>100000</v>
      </c>
      <c r="S45" s="512" t="s">
        <v>70</v>
      </c>
      <c r="T45" s="512" t="s">
        <v>211</v>
      </c>
      <c r="U45" s="513" t="s">
        <v>213</v>
      </c>
      <c r="V45" s="249"/>
      <c r="W45" s="249"/>
    </row>
    <row r="46" spans="1:16384" s="188" customFormat="1" ht="71.25">
      <c r="A46" s="504" t="s">
        <v>33</v>
      </c>
      <c r="B46" s="250">
        <v>43371</v>
      </c>
      <c r="C46" s="251" t="s">
        <v>1220</v>
      </c>
      <c r="D46" s="505" t="s">
        <v>127</v>
      </c>
      <c r="E46" s="506" t="s">
        <v>214</v>
      </c>
      <c r="F46" s="507" t="s">
        <v>215</v>
      </c>
      <c r="G46" s="210">
        <f t="shared" si="0"/>
        <v>880658.23</v>
      </c>
      <c r="H46" s="211">
        <v>880658.23</v>
      </c>
      <c r="I46" s="210">
        <f t="shared" si="1"/>
        <v>880658.22000000009</v>
      </c>
      <c r="J46" s="211">
        <f>440329.11+415386.46+24942.65</f>
        <v>880658.22000000009</v>
      </c>
      <c r="K46" s="210">
        <f t="shared" si="2"/>
        <v>9.9999998928979039E-3</v>
      </c>
      <c r="L46" s="508">
        <f t="shared" si="3"/>
        <v>9.9999998928979039E-3</v>
      </c>
      <c r="M46" s="509" t="s">
        <v>57</v>
      </c>
      <c r="N46" s="578">
        <f t="shared" si="4"/>
        <v>0.99999998864485729</v>
      </c>
      <c r="O46" s="578">
        <v>1</v>
      </c>
      <c r="P46" s="510" t="s">
        <v>63</v>
      </c>
      <c r="Q46" s="212">
        <v>5261.66</v>
      </c>
      <c r="R46" s="511">
        <v>797000</v>
      </c>
      <c r="S46" s="512" t="s">
        <v>70</v>
      </c>
      <c r="T46" s="512" t="s">
        <v>216</v>
      </c>
      <c r="U46" s="513" t="s">
        <v>217</v>
      </c>
      <c r="V46" s="249"/>
      <c r="W46" s="249"/>
    </row>
    <row r="47" spans="1:16384" s="188" customFormat="1" ht="71.25">
      <c r="A47" s="504" t="s">
        <v>33</v>
      </c>
      <c r="B47" s="250">
        <v>43293</v>
      </c>
      <c r="C47" s="251" t="s">
        <v>630</v>
      </c>
      <c r="D47" s="505" t="s">
        <v>127</v>
      </c>
      <c r="E47" s="506" t="s">
        <v>218</v>
      </c>
      <c r="F47" s="507" t="s">
        <v>219</v>
      </c>
      <c r="G47" s="210">
        <f t="shared" si="0"/>
        <v>745086.18</v>
      </c>
      <c r="H47" s="211">
        <v>745086.18</v>
      </c>
      <c r="I47" s="210">
        <f t="shared" si="1"/>
        <v>745086.18</v>
      </c>
      <c r="J47" s="211">
        <f>745086.18</f>
        <v>745086.18</v>
      </c>
      <c r="K47" s="210">
        <f t="shared" si="2"/>
        <v>0</v>
      </c>
      <c r="L47" s="508">
        <f t="shared" si="3"/>
        <v>0</v>
      </c>
      <c r="M47" s="509" t="s">
        <v>57</v>
      </c>
      <c r="N47" s="578">
        <f t="shared" si="4"/>
        <v>1</v>
      </c>
      <c r="O47" s="578">
        <v>1</v>
      </c>
      <c r="P47" s="510" t="s">
        <v>63</v>
      </c>
      <c r="Q47" s="212">
        <v>6402.03</v>
      </c>
      <c r="R47" s="511">
        <v>250000</v>
      </c>
      <c r="S47" s="512" t="s">
        <v>76</v>
      </c>
      <c r="T47" s="512" t="s">
        <v>278</v>
      </c>
      <c r="U47" s="513" t="s">
        <v>279</v>
      </c>
      <c r="V47" s="249"/>
      <c r="W47" s="249"/>
    </row>
    <row r="48" spans="1:16384" s="188" customFormat="1" ht="57">
      <c r="A48" s="504" t="s">
        <v>33</v>
      </c>
      <c r="B48" s="250">
        <v>43371</v>
      </c>
      <c r="C48" s="251" t="s">
        <v>1221</v>
      </c>
      <c r="D48" s="505" t="s">
        <v>127</v>
      </c>
      <c r="E48" s="506" t="s">
        <v>220</v>
      </c>
      <c r="F48" s="507" t="s">
        <v>221</v>
      </c>
      <c r="G48" s="210">
        <f t="shared" si="0"/>
        <v>1212378.98</v>
      </c>
      <c r="H48" s="211">
        <v>1212378.98</v>
      </c>
      <c r="I48" s="210">
        <f t="shared" si="1"/>
        <v>1212378.9799999997</v>
      </c>
      <c r="J48" s="211">
        <f>552847.64+598909.45+60621.89</f>
        <v>1212378.9799999997</v>
      </c>
      <c r="K48" s="210">
        <f t="shared" si="2"/>
        <v>0</v>
      </c>
      <c r="L48" s="508">
        <f t="shared" si="3"/>
        <v>0</v>
      </c>
      <c r="M48" s="509" t="s">
        <v>57</v>
      </c>
      <c r="N48" s="578">
        <f t="shared" si="4"/>
        <v>0.99999999999999978</v>
      </c>
      <c r="O48" s="578">
        <v>1</v>
      </c>
      <c r="P48" s="510" t="s">
        <v>63</v>
      </c>
      <c r="Q48" s="212">
        <v>7061.44</v>
      </c>
      <c r="R48" s="511">
        <v>797000</v>
      </c>
      <c r="S48" s="512" t="s">
        <v>70</v>
      </c>
      <c r="T48" s="512" t="s">
        <v>280</v>
      </c>
      <c r="U48" s="513" t="s">
        <v>281</v>
      </c>
      <c r="V48" s="249"/>
      <c r="W48" s="249"/>
    </row>
    <row r="49" spans="1:23" s="188" customFormat="1" ht="57">
      <c r="A49" s="504" t="s">
        <v>33</v>
      </c>
      <c r="B49" s="250">
        <v>43168</v>
      </c>
      <c r="C49" s="251" t="s">
        <v>222</v>
      </c>
      <c r="D49" s="505" t="s">
        <v>127</v>
      </c>
      <c r="E49" s="506" t="s">
        <v>223</v>
      </c>
      <c r="F49" s="507" t="s">
        <v>224</v>
      </c>
      <c r="G49" s="210">
        <f t="shared" si="0"/>
        <v>575395.89</v>
      </c>
      <c r="H49" s="211">
        <f>I49</f>
        <v>575395.89</v>
      </c>
      <c r="I49" s="210">
        <f t="shared" si="1"/>
        <v>575395.89</v>
      </c>
      <c r="J49" s="211">
        <f>287699.13+205788.72+81908.04</f>
        <v>575395.89</v>
      </c>
      <c r="K49" s="210">
        <f t="shared" si="2"/>
        <v>0</v>
      </c>
      <c r="L49" s="508">
        <f t="shared" si="3"/>
        <v>0</v>
      </c>
      <c r="M49" s="509" t="s">
        <v>57</v>
      </c>
      <c r="N49" s="578">
        <f t="shared" si="4"/>
        <v>1</v>
      </c>
      <c r="O49" s="578">
        <v>1</v>
      </c>
      <c r="P49" s="510" t="s">
        <v>63</v>
      </c>
      <c r="Q49" s="212">
        <v>4897.6400000000003</v>
      </c>
      <c r="R49" s="511">
        <v>797000</v>
      </c>
      <c r="S49" s="512" t="s">
        <v>70</v>
      </c>
      <c r="T49" s="512" t="s">
        <v>336</v>
      </c>
      <c r="U49" s="513" t="s">
        <v>337</v>
      </c>
      <c r="V49" s="249"/>
      <c r="W49" s="249"/>
    </row>
    <row r="50" spans="1:23" s="188" customFormat="1" ht="99.75">
      <c r="A50" s="504" t="s">
        <v>33</v>
      </c>
      <c r="B50" s="250">
        <v>43371</v>
      </c>
      <c r="C50" s="251" t="s">
        <v>1222</v>
      </c>
      <c r="D50" s="505" t="s">
        <v>127</v>
      </c>
      <c r="E50" s="506" t="s">
        <v>225</v>
      </c>
      <c r="F50" s="507" t="s">
        <v>226</v>
      </c>
      <c r="G50" s="210">
        <f t="shared" si="0"/>
        <v>2327286.7999999998</v>
      </c>
      <c r="H50" s="211">
        <v>2327286.7999999998</v>
      </c>
      <c r="I50" s="210">
        <f t="shared" si="1"/>
        <v>2327286.7799999998</v>
      </c>
      <c r="J50" s="211">
        <f>688989.52+1607642.21+30655.05</f>
        <v>2327286.7799999998</v>
      </c>
      <c r="K50" s="210">
        <f t="shared" si="2"/>
        <v>2.0000000018626451E-2</v>
      </c>
      <c r="L50" s="508">
        <f t="shared" si="3"/>
        <v>2.0000000018626451E-2</v>
      </c>
      <c r="M50" s="509" t="s">
        <v>57</v>
      </c>
      <c r="N50" s="578">
        <f t="shared" si="4"/>
        <v>0.99999999140630191</v>
      </c>
      <c r="O50" s="578">
        <v>1</v>
      </c>
      <c r="P50" s="510" t="s">
        <v>63</v>
      </c>
      <c r="Q50" s="212">
        <v>21420.13</v>
      </c>
      <c r="R50" s="511">
        <v>200000</v>
      </c>
      <c r="S50" s="512" t="s">
        <v>76</v>
      </c>
      <c r="T50" s="512" t="s">
        <v>338</v>
      </c>
      <c r="U50" s="513" t="s">
        <v>339</v>
      </c>
      <c r="V50" s="249"/>
      <c r="W50" s="249"/>
    </row>
    <row r="51" spans="1:23" s="188" customFormat="1" ht="99.75">
      <c r="A51" s="504" t="s">
        <v>33</v>
      </c>
      <c r="B51" s="250">
        <v>43161</v>
      </c>
      <c r="C51" s="251" t="s">
        <v>227</v>
      </c>
      <c r="D51" s="505" t="s">
        <v>127</v>
      </c>
      <c r="E51" s="506" t="s">
        <v>228</v>
      </c>
      <c r="F51" s="507" t="s">
        <v>229</v>
      </c>
      <c r="G51" s="210">
        <f t="shared" si="0"/>
        <v>2470763.0299999998</v>
      </c>
      <c r="H51" s="211">
        <v>2470763.0299999998</v>
      </c>
      <c r="I51" s="210">
        <f t="shared" si="1"/>
        <v>2470763.02</v>
      </c>
      <c r="J51" s="211">
        <f>720572.22+1361328.87+388861.93</f>
        <v>2470763.02</v>
      </c>
      <c r="K51" s="210">
        <f t="shared" si="2"/>
        <v>9.9999997764825821E-3</v>
      </c>
      <c r="L51" s="508">
        <f t="shared" si="3"/>
        <v>9.9999997764825821E-3</v>
      </c>
      <c r="M51" s="509" t="s">
        <v>57</v>
      </c>
      <c r="N51" s="578">
        <f t="shared" si="4"/>
        <v>0.99999999595266742</v>
      </c>
      <c r="O51" s="578">
        <v>1</v>
      </c>
      <c r="P51" s="510" t="s">
        <v>63</v>
      </c>
      <c r="Q51" s="212">
        <v>16477.8</v>
      </c>
      <c r="R51" s="511">
        <v>200000</v>
      </c>
      <c r="S51" s="512" t="s">
        <v>76</v>
      </c>
      <c r="T51" s="512" t="s">
        <v>340</v>
      </c>
      <c r="U51" s="513" t="s">
        <v>341</v>
      </c>
      <c r="V51" s="249"/>
      <c r="W51" s="249"/>
    </row>
    <row r="52" spans="1:23" s="188" customFormat="1" ht="71.25">
      <c r="A52" s="504" t="s">
        <v>33</v>
      </c>
      <c r="B52" s="250">
        <v>43161</v>
      </c>
      <c r="C52" s="251" t="s">
        <v>230</v>
      </c>
      <c r="D52" s="505" t="s">
        <v>127</v>
      </c>
      <c r="E52" s="506" t="s">
        <v>231</v>
      </c>
      <c r="F52" s="507" t="s">
        <v>232</v>
      </c>
      <c r="G52" s="210">
        <f t="shared" si="0"/>
        <v>2470763.0299999998</v>
      </c>
      <c r="H52" s="211">
        <v>2470763.0299999998</v>
      </c>
      <c r="I52" s="210">
        <f t="shared" si="1"/>
        <v>2470763.0299999998</v>
      </c>
      <c r="J52" s="211">
        <f>718528.29+1575388.51+176846.23</f>
        <v>2470763.0299999998</v>
      </c>
      <c r="K52" s="210">
        <f t="shared" si="2"/>
        <v>0</v>
      </c>
      <c r="L52" s="508">
        <f t="shared" si="3"/>
        <v>0</v>
      </c>
      <c r="M52" s="509" t="s">
        <v>57</v>
      </c>
      <c r="N52" s="578">
        <f t="shared" si="4"/>
        <v>1</v>
      </c>
      <c r="O52" s="578">
        <v>1</v>
      </c>
      <c r="P52" s="510" t="s">
        <v>63</v>
      </c>
      <c r="Q52" s="212">
        <v>16477.8</v>
      </c>
      <c r="R52" s="511">
        <v>200000</v>
      </c>
      <c r="S52" s="512" t="s">
        <v>76</v>
      </c>
      <c r="T52" s="512" t="s">
        <v>342</v>
      </c>
      <c r="U52" s="513" t="s">
        <v>343</v>
      </c>
      <c r="V52" s="249"/>
      <c r="W52" s="249"/>
    </row>
    <row r="53" spans="1:23" s="188" customFormat="1" ht="57">
      <c r="A53" s="504" t="s">
        <v>33</v>
      </c>
      <c r="B53" s="250">
        <v>43375</v>
      </c>
      <c r="C53" s="251" t="s">
        <v>1223</v>
      </c>
      <c r="D53" s="505" t="s">
        <v>127</v>
      </c>
      <c r="E53" s="506" t="s">
        <v>233</v>
      </c>
      <c r="F53" s="507" t="s">
        <v>234</v>
      </c>
      <c r="G53" s="210">
        <f t="shared" si="0"/>
        <v>428948.83</v>
      </c>
      <c r="H53" s="211">
        <v>428948.83</v>
      </c>
      <c r="I53" s="210">
        <f t="shared" si="1"/>
        <v>428948.82999999996</v>
      </c>
      <c r="J53" s="211">
        <f>403261.11+25687.72</f>
        <v>428948.82999999996</v>
      </c>
      <c r="K53" s="210">
        <f t="shared" si="2"/>
        <v>0</v>
      </c>
      <c r="L53" s="508">
        <f t="shared" si="3"/>
        <v>0</v>
      </c>
      <c r="M53" s="509" t="s">
        <v>57</v>
      </c>
      <c r="N53" s="578">
        <f t="shared" si="4"/>
        <v>0.99999999999999989</v>
      </c>
      <c r="O53" s="578">
        <v>1</v>
      </c>
      <c r="P53" s="510" t="s">
        <v>63</v>
      </c>
      <c r="Q53" s="212">
        <v>4272.04</v>
      </c>
      <c r="R53" s="511">
        <v>797000</v>
      </c>
      <c r="S53" s="512" t="s">
        <v>70</v>
      </c>
      <c r="T53" s="512" t="s">
        <v>274</v>
      </c>
      <c r="U53" s="513" t="s">
        <v>344</v>
      </c>
      <c r="V53" s="249"/>
      <c r="W53" s="249"/>
    </row>
    <row r="54" spans="1:23" s="188" customFormat="1" ht="71.25">
      <c r="A54" s="504" t="s">
        <v>33</v>
      </c>
      <c r="B54" s="250">
        <v>43447</v>
      </c>
      <c r="C54" s="251" t="s">
        <v>1224</v>
      </c>
      <c r="D54" s="505" t="s">
        <v>127</v>
      </c>
      <c r="E54" s="506" t="s">
        <v>235</v>
      </c>
      <c r="F54" s="507" t="s">
        <v>236</v>
      </c>
      <c r="G54" s="210">
        <f t="shared" si="0"/>
        <v>2105799.94</v>
      </c>
      <c r="H54" s="211">
        <v>2105799.94</v>
      </c>
      <c r="I54" s="210">
        <f t="shared" si="1"/>
        <v>2105799.94</v>
      </c>
      <c r="J54" s="211">
        <f>631739.98+664131.1+508950.93+300977.93</f>
        <v>2105799.94</v>
      </c>
      <c r="K54" s="210">
        <f t="shared" si="2"/>
        <v>0</v>
      </c>
      <c r="L54" s="508">
        <f t="shared" si="3"/>
        <v>0</v>
      </c>
      <c r="M54" s="509" t="s">
        <v>57</v>
      </c>
      <c r="N54" s="578">
        <f t="shared" si="4"/>
        <v>1</v>
      </c>
      <c r="O54" s="578">
        <v>1</v>
      </c>
      <c r="P54" s="510" t="s">
        <v>63</v>
      </c>
      <c r="Q54" s="212">
        <v>15974.08</v>
      </c>
      <c r="R54" s="511">
        <v>200000</v>
      </c>
      <c r="S54" s="512" t="s">
        <v>76</v>
      </c>
      <c r="T54" s="512" t="s">
        <v>345</v>
      </c>
      <c r="U54" s="513" t="s">
        <v>346</v>
      </c>
      <c r="V54" s="249"/>
      <c r="W54" s="249"/>
    </row>
    <row r="55" spans="1:23" s="188" customFormat="1" ht="57">
      <c r="A55" s="504" t="s">
        <v>33</v>
      </c>
      <c r="B55" s="250">
        <v>43342</v>
      </c>
      <c r="C55" s="251" t="s">
        <v>1225</v>
      </c>
      <c r="D55" s="505" t="s">
        <v>127</v>
      </c>
      <c r="E55" s="506" t="s">
        <v>237</v>
      </c>
      <c r="F55" s="507" t="s">
        <v>238</v>
      </c>
      <c r="G55" s="210">
        <f t="shared" si="0"/>
        <v>799999.97</v>
      </c>
      <c r="H55" s="211">
        <v>799999.97</v>
      </c>
      <c r="I55" s="210">
        <f t="shared" si="1"/>
        <v>799999.97</v>
      </c>
      <c r="J55" s="211">
        <f>227564.48+494386.04+78049.45</f>
        <v>799999.97</v>
      </c>
      <c r="K55" s="210">
        <f t="shared" si="2"/>
        <v>0</v>
      </c>
      <c r="L55" s="508">
        <f t="shared" si="3"/>
        <v>0</v>
      </c>
      <c r="M55" s="509" t="s">
        <v>57</v>
      </c>
      <c r="N55" s="578">
        <f t="shared" si="4"/>
        <v>1</v>
      </c>
      <c r="O55" s="578">
        <v>1</v>
      </c>
      <c r="P55" s="510" t="s">
        <v>63</v>
      </c>
      <c r="Q55" s="212">
        <v>1963.51</v>
      </c>
      <c r="R55" s="511">
        <v>250000</v>
      </c>
      <c r="S55" s="512" t="s">
        <v>70</v>
      </c>
      <c r="T55" s="512" t="s">
        <v>282</v>
      </c>
      <c r="U55" s="513" t="s">
        <v>283</v>
      </c>
      <c r="V55" s="249"/>
      <c r="W55" s="249"/>
    </row>
    <row r="56" spans="1:23" s="188" customFormat="1" ht="57">
      <c r="A56" s="504" t="s">
        <v>33</v>
      </c>
      <c r="B56" s="250">
        <v>43368</v>
      </c>
      <c r="C56" s="251" t="s">
        <v>1226</v>
      </c>
      <c r="D56" s="505" t="s">
        <v>127</v>
      </c>
      <c r="E56" s="506" t="s">
        <v>239</v>
      </c>
      <c r="F56" s="507" t="s">
        <v>240</v>
      </c>
      <c r="G56" s="210">
        <f t="shared" si="0"/>
        <v>849999.96</v>
      </c>
      <c r="H56" s="211">
        <v>849999.96</v>
      </c>
      <c r="I56" s="210">
        <f t="shared" si="1"/>
        <v>849999.96</v>
      </c>
      <c r="J56" s="211">
        <f>249157.37+193752.65+230936.49+176153.45</f>
        <v>849999.96</v>
      </c>
      <c r="K56" s="210">
        <f t="shared" si="2"/>
        <v>0</v>
      </c>
      <c r="L56" s="508">
        <f t="shared" si="3"/>
        <v>0</v>
      </c>
      <c r="M56" s="509" t="s">
        <v>57</v>
      </c>
      <c r="N56" s="578">
        <f t="shared" si="4"/>
        <v>1</v>
      </c>
      <c r="O56" s="578">
        <v>1</v>
      </c>
      <c r="P56" s="510" t="s">
        <v>63</v>
      </c>
      <c r="Q56" s="212">
        <v>1105.24</v>
      </c>
      <c r="R56" s="511">
        <v>125000</v>
      </c>
      <c r="S56" s="512" t="s">
        <v>70</v>
      </c>
      <c r="T56" s="512" t="s">
        <v>284</v>
      </c>
      <c r="U56" s="513" t="s">
        <v>285</v>
      </c>
      <c r="V56" s="249"/>
      <c r="W56" s="249"/>
    </row>
    <row r="57" spans="1:23" s="188" customFormat="1" ht="71.25">
      <c r="A57" s="504" t="s">
        <v>33</v>
      </c>
      <c r="B57" s="250">
        <v>43399</v>
      </c>
      <c r="C57" s="251" t="s">
        <v>1227</v>
      </c>
      <c r="D57" s="505" t="s">
        <v>127</v>
      </c>
      <c r="E57" s="506" t="s">
        <v>241</v>
      </c>
      <c r="F57" s="507" t="s">
        <v>242</v>
      </c>
      <c r="G57" s="210">
        <f t="shared" si="0"/>
        <v>1450000.01</v>
      </c>
      <c r="H57" s="211">
        <v>1450000.01</v>
      </c>
      <c r="I57" s="210">
        <f t="shared" si="1"/>
        <v>1450000</v>
      </c>
      <c r="J57" s="211">
        <f>425432.97+259832.08+732844.9+31890.05</f>
        <v>1450000</v>
      </c>
      <c r="K57" s="210">
        <f t="shared" si="2"/>
        <v>1.0000000009313226E-2</v>
      </c>
      <c r="L57" s="508">
        <f t="shared" si="3"/>
        <v>1.0000000009313226E-2</v>
      </c>
      <c r="M57" s="509" t="s">
        <v>57</v>
      </c>
      <c r="N57" s="578">
        <f t="shared" si="4"/>
        <v>0.99999999310344834</v>
      </c>
      <c r="O57" s="578">
        <v>1</v>
      </c>
      <c r="P57" s="510" t="s">
        <v>63</v>
      </c>
      <c r="Q57" s="212">
        <v>3351</v>
      </c>
      <c r="R57" s="511">
        <v>250000</v>
      </c>
      <c r="S57" s="512" t="s">
        <v>76</v>
      </c>
      <c r="T57" s="512" t="s">
        <v>347</v>
      </c>
      <c r="U57" s="513" t="s">
        <v>348</v>
      </c>
      <c r="V57" s="249"/>
      <c r="W57" s="249"/>
    </row>
    <row r="58" spans="1:23" s="188" customFormat="1" ht="57">
      <c r="A58" s="504" t="s">
        <v>33</v>
      </c>
      <c r="B58" s="250">
        <v>43368</v>
      </c>
      <c r="C58" s="251" t="s">
        <v>1228</v>
      </c>
      <c r="D58" s="505" t="s">
        <v>197</v>
      </c>
      <c r="E58" s="506" t="s">
        <v>243</v>
      </c>
      <c r="F58" s="507" t="s">
        <v>244</v>
      </c>
      <c r="G58" s="210">
        <f t="shared" si="0"/>
        <v>740982.55</v>
      </c>
      <c r="H58" s="211">
        <v>740982.55</v>
      </c>
      <c r="I58" s="210">
        <f t="shared" si="1"/>
        <v>740982.55</v>
      </c>
      <c r="J58" s="211">
        <f>222294.77+263464.74+244059.17+11163.87</f>
        <v>740982.55</v>
      </c>
      <c r="K58" s="210">
        <f t="shared" si="2"/>
        <v>0</v>
      </c>
      <c r="L58" s="508">
        <f t="shared" si="3"/>
        <v>0</v>
      </c>
      <c r="M58" s="509" t="s">
        <v>57</v>
      </c>
      <c r="N58" s="578">
        <f t="shared" si="4"/>
        <v>1</v>
      </c>
      <c r="O58" s="578">
        <v>1</v>
      </c>
      <c r="P58" s="510" t="s">
        <v>37</v>
      </c>
      <c r="Q58" s="212">
        <v>1</v>
      </c>
      <c r="R58" s="511">
        <v>2000</v>
      </c>
      <c r="S58" s="512" t="s">
        <v>70</v>
      </c>
      <c r="T58" s="512" t="s">
        <v>516</v>
      </c>
      <c r="U58" s="513" t="s">
        <v>517</v>
      </c>
      <c r="V58" s="249"/>
      <c r="W58" s="249"/>
    </row>
    <row r="59" spans="1:23" s="188" customFormat="1" ht="85.5">
      <c r="A59" s="504" t="s">
        <v>33</v>
      </c>
      <c r="B59" s="250">
        <v>43434</v>
      </c>
      <c r="C59" s="251" t="s">
        <v>1229</v>
      </c>
      <c r="D59" s="505" t="s">
        <v>197</v>
      </c>
      <c r="E59" s="506" t="s">
        <v>245</v>
      </c>
      <c r="F59" s="507" t="s">
        <v>246</v>
      </c>
      <c r="G59" s="210">
        <f t="shared" si="0"/>
        <v>1850000</v>
      </c>
      <c r="H59" s="211">
        <v>1850000</v>
      </c>
      <c r="I59" s="210">
        <f t="shared" si="1"/>
        <v>1850000</v>
      </c>
      <c r="J59" s="211">
        <f>540644.19+199274.5+192633.29+471392.32+398203.01+47852.69</f>
        <v>1850000</v>
      </c>
      <c r="K59" s="210">
        <f t="shared" si="2"/>
        <v>0</v>
      </c>
      <c r="L59" s="508">
        <f t="shared" si="3"/>
        <v>0</v>
      </c>
      <c r="M59" s="509" t="s">
        <v>57</v>
      </c>
      <c r="N59" s="578">
        <f t="shared" si="4"/>
        <v>1</v>
      </c>
      <c r="O59" s="578">
        <v>1</v>
      </c>
      <c r="P59" s="510" t="s">
        <v>37</v>
      </c>
      <c r="Q59" s="212">
        <v>1</v>
      </c>
      <c r="R59" s="511">
        <v>100000</v>
      </c>
      <c r="S59" s="512" t="s">
        <v>76</v>
      </c>
      <c r="T59" s="512" t="s">
        <v>349</v>
      </c>
      <c r="U59" s="513" t="s">
        <v>350</v>
      </c>
      <c r="V59" s="249"/>
      <c r="W59" s="249"/>
    </row>
    <row r="60" spans="1:23" s="188" customFormat="1" ht="99.75">
      <c r="A60" s="504" t="s">
        <v>33</v>
      </c>
      <c r="B60" s="250">
        <v>43460</v>
      </c>
      <c r="C60" s="251" t="s">
        <v>1048</v>
      </c>
      <c r="D60" s="505" t="s">
        <v>197</v>
      </c>
      <c r="E60" s="506" t="s">
        <v>247</v>
      </c>
      <c r="F60" s="507" t="s">
        <v>1230</v>
      </c>
      <c r="G60" s="210">
        <f>H60</f>
        <v>2500000</v>
      </c>
      <c r="H60" s="211">
        <v>2500000</v>
      </c>
      <c r="I60" s="210">
        <f t="shared" si="1"/>
        <v>950385.03</v>
      </c>
      <c r="J60" s="211">
        <f>734771.02+215614.01</f>
        <v>950385.03</v>
      </c>
      <c r="K60" s="210">
        <f t="shared" si="2"/>
        <v>1549614.97</v>
      </c>
      <c r="L60" s="508">
        <f>G60-I60</f>
        <v>1549614.97</v>
      </c>
      <c r="M60" s="509" t="s">
        <v>57</v>
      </c>
      <c r="N60" s="578">
        <f t="shared" si="4"/>
        <v>0.38015401199999999</v>
      </c>
      <c r="O60" s="578">
        <v>0.25</v>
      </c>
      <c r="P60" s="510" t="s">
        <v>37</v>
      </c>
      <c r="Q60" s="212">
        <v>1</v>
      </c>
      <c r="R60" s="511">
        <v>50000</v>
      </c>
      <c r="S60" s="512" t="s">
        <v>76</v>
      </c>
      <c r="T60" s="512" t="s">
        <v>286</v>
      </c>
      <c r="U60" s="513" t="s">
        <v>287</v>
      </c>
      <c r="V60" s="249"/>
      <c r="W60" s="249"/>
    </row>
    <row r="61" spans="1:23" s="188" customFormat="1" ht="71.25">
      <c r="A61" s="504" t="s">
        <v>33</v>
      </c>
      <c r="B61" s="250">
        <v>43166</v>
      </c>
      <c r="C61" s="251" t="s">
        <v>248</v>
      </c>
      <c r="D61" s="505" t="s">
        <v>127</v>
      </c>
      <c r="E61" s="506" t="s">
        <v>249</v>
      </c>
      <c r="F61" s="507" t="s">
        <v>250</v>
      </c>
      <c r="G61" s="210">
        <f t="shared" si="0"/>
        <v>1521658.37</v>
      </c>
      <c r="H61" s="211">
        <v>1521658.37</v>
      </c>
      <c r="I61" s="210">
        <f t="shared" si="1"/>
        <v>1521658.37</v>
      </c>
      <c r="J61" s="211">
        <f>444702.59+174311.03+261975.76+156763.71+483905.28</f>
        <v>1521658.37</v>
      </c>
      <c r="K61" s="210">
        <f t="shared" si="2"/>
        <v>0</v>
      </c>
      <c r="L61" s="508">
        <f t="shared" si="3"/>
        <v>0</v>
      </c>
      <c r="M61" s="509" t="s">
        <v>57</v>
      </c>
      <c r="N61" s="578">
        <f t="shared" si="4"/>
        <v>1</v>
      </c>
      <c r="O61" s="578">
        <v>0.98</v>
      </c>
      <c r="P61" s="510" t="s">
        <v>37</v>
      </c>
      <c r="Q61" s="212">
        <v>1</v>
      </c>
      <c r="R61" s="511">
        <v>100000</v>
      </c>
      <c r="S61" s="512" t="s">
        <v>76</v>
      </c>
      <c r="T61" s="512" t="s">
        <v>351</v>
      </c>
      <c r="U61" s="513" t="s">
        <v>352</v>
      </c>
      <c r="V61" s="249"/>
      <c r="W61" s="249"/>
    </row>
    <row r="62" spans="1:23" s="188" customFormat="1" ht="57">
      <c r="A62" s="504" t="s">
        <v>33</v>
      </c>
      <c r="B62" s="250">
        <v>43399</v>
      </c>
      <c r="C62" s="251" t="s">
        <v>1231</v>
      </c>
      <c r="D62" s="505" t="s">
        <v>127</v>
      </c>
      <c r="E62" s="506" t="s">
        <v>251</v>
      </c>
      <c r="F62" s="507" t="s">
        <v>252</v>
      </c>
      <c r="G62" s="210">
        <f t="shared" si="0"/>
        <v>1179139.47</v>
      </c>
      <c r="H62" s="211">
        <v>1179139.47</v>
      </c>
      <c r="I62" s="210">
        <f t="shared" si="1"/>
        <v>1179139.4699999997</v>
      </c>
      <c r="J62" s="211">
        <f>862242.99+305141.35+11755.13</f>
        <v>1179139.4699999997</v>
      </c>
      <c r="K62" s="210">
        <f t="shared" si="2"/>
        <v>0</v>
      </c>
      <c r="L62" s="508">
        <f t="shared" si="3"/>
        <v>0</v>
      </c>
      <c r="M62" s="509" t="s">
        <v>57</v>
      </c>
      <c r="N62" s="578">
        <f t="shared" si="4"/>
        <v>0.99999999999999978</v>
      </c>
      <c r="O62" s="578">
        <v>1</v>
      </c>
      <c r="P62" s="510" t="s">
        <v>37</v>
      </c>
      <c r="Q62" s="212">
        <v>1</v>
      </c>
      <c r="R62" s="511">
        <v>250000</v>
      </c>
      <c r="S62" s="512" t="s">
        <v>70</v>
      </c>
      <c r="T62" s="512" t="s">
        <v>288</v>
      </c>
      <c r="U62" s="513" t="s">
        <v>289</v>
      </c>
      <c r="V62" s="249"/>
      <c r="W62" s="249"/>
    </row>
    <row r="63" spans="1:23" s="188" customFormat="1" ht="57">
      <c r="A63" s="504" t="s">
        <v>33</v>
      </c>
      <c r="B63" s="250">
        <v>43410</v>
      </c>
      <c r="C63" s="251" t="s">
        <v>1232</v>
      </c>
      <c r="D63" s="505" t="s">
        <v>127</v>
      </c>
      <c r="E63" s="506" t="s">
        <v>253</v>
      </c>
      <c r="F63" s="507" t="s">
        <v>254</v>
      </c>
      <c r="G63" s="210">
        <f t="shared" si="0"/>
        <v>1058816.1599999999</v>
      </c>
      <c r="H63" s="211">
        <v>1058816.1599999999</v>
      </c>
      <c r="I63" s="210">
        <f t="shared" si="1"/>
        <v>1058816.1599999999</v>
      </c>
      <c r="J63" s="211">
        <f>811914.19+88599.08+122170.35+36132.54</f>
        <v>1058816.1599999999</v>
      </c>
      <c r="K63" s="210">
        <f t="shared" si="2"/>
        <v>0</v>
      </c>
      <c r="L63" s="508">
        <f t="shared" si="3"/>
        <v>0</v>
      </c>
      <c r="M63" s="509" t="s">
        <v>57</v>
      </c>
      <c r="N63" s="578">
        <f t="shared" si="4"/>
        <v>1</v>
      </c>
      <c r="O63" s="578">
        <v>1</v>
      </c>
      <c r="P63" s="510" t="s">
        <v>37</v>
      </c>
      <c r="Q63" s="212">
        <v>1</v>
      </c>
      <c r="R63" s="511">
        <v>250000</v>
      </c>
      <c r="S63" s="512" t="s">
        <v>70</v>
      </c>
      <c r="T63" s="512" t="s">
        <v>288</v>
      </c>
      <c r="U63" s="513" t="s">
        <v>290</v>
      </c>
      <c r="V63" s="249"/>
      <c r="W63" s="249"/>
    </row>
    <row r="64" spans="1:23" s="188" customFormat="1" ht="42.75">
      <c r="A64" s="504" t="s">
        <v>156</v>
      </c>
      <c r="B64" s="250">
        <v>43447</v>
      </c>
      <c r="C64" s="251" t="s">
        <v>1233</v>
      </c>
      <c r="D64" s="505" t="s">
        <v>137</v>
      </c>
      <c r="E64" s="506" t="s">
        <v>255</v>
      </c>
      <c r="F64" s="507" t="s">
        <v>256</v>
      </c>
      <c r="G64" s="210">
        <f t="shared" si="0"/>
        <v>631243.51</v>
      </c>
      <c r="H64" s="211">
        <v>631243.51</v>
      </c>
      <c r="I64" s="210">
        <f t="shared" si="1"/>
        <v>631243.50999999989</v>
      </c>
      <c r="J64" s="211">
        <f>455460.29+79740.62+84461.33+11581.27</f>
        <v>631243.50999999989</v>
      </c>
      <c r="K64" s="210">
        <f t="shared" si="2"/>
        <v>0</v>
      </c>
      <c r="L64" s="508">
        <f t="shared" si="3"/>
        <v>0</v>
      </c>
      <c r="M64" s="509" t="s">
        <v>57</v>
      </c>
      <c r="N64" s="578">
        <f t="shared" si="4"/>
        <v>0.99999999999999978</v>
      </c>
      <c r="O64" s="578">
        <v>1</v>
      </c>
      <c r="P64" s="510" t="s">
        <v>37</v>
      </c>
      <c r="Q64" s="212">
        <v>1</v>
      </c>
      <c r="R64" s="511">
        <v>50000</v>
      </c>
      <c r="S64" s="512" t="s">
        <v>70</v>
      </c>
      <c r="T64" s="512" t="s">
        <v>353</v>
      </c>
      <c r="U64" s="513" t="s">
        <v>354</v>
      </c>
      <c r="V64" s="249"/>
      <c r="W64" s="249"/>
    </row>
    <row r="65" spans="1:23" s="188" customFormat="1" ht="57">
      <c r="A65" s="504" t="s">
        <v>33</v>
      </c>
      <c r="B65" s="250">
        <v>43257</v>
      </c>
      <c r="C65" s="251" t="s">
        <v>1234</v>
      </c>
      <c r="D65" s="505" t="s">
        <v>197</v>
      </c>
      <c r="E65" s="506" t="s">
        <v>257</v>
      </c>
      <c r="F65" s="507" t="s">
        <v>258</v>
      </c>
      <c r="G65" s="210">
        <f t="shared" si="0"/>
        <v>0</v>
      </c>
      <c r="H65" s="211">
        <v>0</v>
      </c>
      <c r="I65" s="210">
        <f t="shared" si="1"/>
        <v>0</v>
      </c>
      <c r="J65" s="211">
        <v>0</v>
      </c>
      <c r="K65" s="210">
        <f t="shared" si="2"/>
        <v>0</v>
      </c>
      <c r="L65" s="508">
        <f t="shared" si="3"/>
        <v>0</v>
      </c>
      <c r="M65" s="509" t="s">
        <v>57</v>
      </c>
      <c r="N65" s="578" t="s">
        <v>1294</v>
      </c>
      <c r="O65" s="578">
        <v>0</v>
      </c>
      <c r="P65" s="510" t="s">
        <v>37</v>
      </c>
      <c r="Q65" s="212">
        <v>1</v>
      </c>
      <c r="R65" s="511">
        <v>2000</v>
      </c>
      <c r="S65" s="512" t="s">
        <v>38</v>
      </c>
      <c r="T65" s="512" t="s">
        <v>38</v>
      </c>
      <c r="U65" s="513" t="s">
        <v>39</v>
      </c>
      <c r="V65" s="249"/>
      <c r="W65" s="249"/>
    </row>
    <row r="66" spans="1:23" s="188" customFormat="1" ht="57">
      <c r="A66" s="504" t="s">
        <v>33</v>
      </c>
      <c r="B66" s="250">
        <v>43181</v>
      </c>
      <c r="C66" s="251" t="s">
        <v>259</v>
      </c>
      <c r="D66" s="505" t="s">
        <v>127</v>
      </c>
      <c r="E66" s="506" t="s">
        <v>260</v>
      </c>
      <c r="F66" s="507" t="s">
        <v>261</v>
      </c>
      <c r="G66" s="210">
        <f t="shared" si="0"/>
        <v>920000</v>
      </c>
      <c r="H66" s="211">
        <v>920000</v>
      </c>
      <c r="I66" s="210">
        <f t="shared" si="1"/>
        <v>920000</v>
      </c>
      <c r="J66" s="211">
        <f>261997.1+611326.55+46676.35</f>
        <v>920000</v>
      </c>
      <c r="K66" s="210">
        <f t="shared" si="2"/>
        <v>0</v>
      </c>
      <c r="L66" s="508">
        <f t="shared" si="3"/>
        <v>0</v>
      </c>
      <c r="M66" s="509" t="s">
        <v>57</v>
      </c>
      <c r="N66" s="578">
        <f t="shared" si="4"/>
        <v>1</v>
      </c>
      <c r="O66" s="578">
        <v>1</v>
      </c>
      <c r="P66" s="510" t="s">
        <v>37</v>
      </c>
      <c r="Q66" s="212">
        <v>1</v>
      </c>
      <c r="R66" s="511">
        <v>500000</v>
      </c>
      <c r="S66" s="512" t="s">
        <v>70</v>
      </c>
      <c r="T66" s="512" t="s">
        <v>518</v>
      </c>
      <c r="U66" s="513" t="s">
        <v>519</v>
      </c>
      <c r="V66" s="249"/>
      <c r="W66" s="249"/>
    </row>
    <row r="67" spans="1:23" s="188" customFormat="1" ht="71.25">
      <c r="A67" s="504" t="s">
        <v>33</v>
      </c>
      <c r="B67" s="250">
        <v>43413</v>
      </c>
      <c r="C67" s="251" t="s">
        <v>1235</v>
      </c>
      <c r="D67" s="505" t="s">
        <v>127</v>
      </c>
      <c r="E67" s="506" t="s">
        <v>262</v>
      </c>
      <c r="F67" s="507" t="s">
        <v>263</v>
      </c>
      <c r="G67" s="210">
        <f t="shared" si="0"/>
        <v>484908.2</v>
      </c>
      <c r="H67" s="211">
        <v>484908.2</v>
      </c>
      <c r="I67" s="210">
        <f t="shared" si="1"/>
        <v>484908.19999999995</v>
      </c>
      <c r="J67" s="211">
        <f>145472.46+333259.77+6175.97</f>
        <v>484908.19999999995</v>
      </c>
      <c r="K67" s="210">
        <f t="shared" si="2"/>
        <v>0</v>
      </c>
      <c r="L67" s="508">
        <f t="shared" si="3"/>
        <v>0</v>
      </c>
      <c r="M67" s="509" t="s">
        <v>57</v>
      </c>
      <c r="N67" s="578">
        <f t="shared" si="4"/>
        <v>0.99999999999999989</v>
      </c>
      <c r="O67" s="578">
        <v>1</v>
      </c>
      <c r="P67" s="510" t="s">
        <v>37</v>
      </c>
      <c r="Q67" s="212">
        <v>1</v>
      </c>
      <c r="R67" s="511">
        <v>500000</v>
      </c>
      <c r="S67" s="512" t="s">
        <v>70</v>
      </c>
      <c r="T67" s="512" t="s">
        <v>520</v>
      </c>
      <c r="U67" s="513" t="s">
        <v>521</v>
      </c>
      <c r="V67" s="249"/>
      <c r="W67" s="249"/>
    </row>
    <row r="68" spans="1:23" s="188" customFormat="1" ht="71.25">
      <c r="A68" s="504" t="s">
        <v>33</v>
      </c>
      <c r="B68" s="250">
        <v>43444</v>
      </c>
      <c r="C68" s="251" t="s">
        <v>1236</v>
      </c>
      <c r="D68" s="505" t="s">
        <v>127</v>
      </c>
      <c r="E68" s="506" t="s">
        <v>291</v>
      </c>
      <c r="F68" s="507" t="s">
        <v>292</v>
      </c>
      <c r="G68" s="210">
        <f t="shared" si="0"/>
        <v>1778268.26</v>
      </c>
      <c r="H68" s="211">
        <v>1778268.26</v>
      </c>
      <c r="I68" s="210">
        <f t="shared" si="1"/>
        <v>1778268.2600000002</v>
      </c>
      <c r="J68" s="211">
        <f>513699.19+132980.54+712802.18+418786.35</f>
        <v>1778268.2600000002</v>
      </c>
      <c r="K68" s="210">
        <f t="shared" si="2"/>
        <v>0</v>
      </c>
      <c r="L68" s="508">
        <f t="shared" si="3"/>
        <v>0</v>
      </c>
      <c r="M68" s="509" t="s">
        <v>57</v>
      </c>
      <c r="N68" s="578">
        <f t="shared" si="4"/>
        <v>1.0000000000000002</v>
      </c>
      <c r="O68" s="578">
        <v>1</v>
      </c>
      <c r="P68" s="510" t="s">
        <v>37</v>
      </c>
      <c r="Q68" s="212">
        <v>1</v>
      </c>
      <c r="R68" s="511">
        <v>250000</v>
      </c>
      <c r="S68" s="512" t="s">
        <v>76</v>
      </c>
      <c r="T68" s="512" t="s">
        <v>355</v>
      </c>
      <c r="U68" s="513" t="s">
        <v>356</v>
      </c>
      <c r="V68" s="249"/>
      <c r="W68" s="249"/>
    </row>
    <row r="69" spans="1:23" s="188" customFormat="1" ht="57">
      <c r="A69" s="504" t="s">
        <v>33</v>
      </c>
      <c r="B69" s="250">
        <v>43413</v>
      </c>
      <c r="C69" s="251" t="s">
        <v>1237</v>
      </c>
      <c r="D69" s="505" t="s">
        <v>127</v>
      </c>
      <c r="E69" s="506" t="s">
        <v>293</v>
      </c>
      <c r="F69" s="507" t="s">
        <v>294</v>
      </c>
      <c r="G69" s="210">
        <f t="shared" si="0"/>
        <v>1025000</v>
      </c>
      <c r="H69" s="211">
        <v>1025000</v>
      </c>
      <c r="I69" s="210">
        <f t="shared" si="1"/>
        <v>1024999.9999999999</v>
      </c>
      <c r="J69" s="211">
        <f>773901.58+42541.82+186404.46+22152.14</f>
        <v>1024999.9999999999</v>
      </c>
      <c r="K69" s="210">
        <f t="shared" si="2"/>
        <v>0</v>
      </c>
      <c r="L69" s="508">
        <f t="shared" si="3"/>
        <v>0</v>
      </c>
      <c r="M69" s="509" t="s">
        <v>57</v>
      </c>
      <c r="N69" s="578">
        <f t="shared" si="4"/>
        <v>0.99999999999999989</v>
      </c>
      <c r="O69" s="578">
        <v>1</v>
      </c>
      <c r="P69" s="510" t="s">
        <v>37</v>
      </c>
      <c r="Q69" s="212">
        <v>1</v>
      </c>
      <c r="R69" s="511">
        <v>150000</v>
      </c>
      <c r="S69" s="512" t="s">
        <v>70</v>
      </c>
      <c r="T69" s="512" t="s">
        <v>357</v>
      </c>
      <c r="U69" s="513" t="s">
        <v>358</v>
      </c>
      <c r="V69" s="249"/>
      <c r="W69" s="249"/>
    </row>
    <row r="70" spans="1:23" s="188" customFormat="1" ht="57">
      <c r="A70" s="504" t="s">
        <v>156</v>
      </c>
      <c r="B70" s="250">
        <v>43403</v>
      </c>
      <c r="C70" s="251" t="s">
        <v>1238</v>
      </c>
      <c r="D70" s="505" t="s">
        <v>127</v>
      </c>
      <c r="E70" s="506" t="s">
        <v>172</v>
      </c>
      <c r="F70" s="507" t="s">
        <v>173</v>
      </c>
      <c r="G70" s="210">
        <f t="shared" si="0"/>
        <v>634458.03</v>
      </c>
      <c r="H70" s="211">
        <v>634458.03</v>
      </c>
      <c r="I70" s="210">
        <f t="shared" si="1"/>
        <v>634458.02999999991</v>
      </c>
      <c r="J70" s="211">
        <f>124236.39+312379.98+115314.97+1786.69+80740</f>
        <v>634458.02999999991</v>
      </c>
      <c r="K70" s="210">
        <f t="shared" si="2"/>
        <v>0</v>
      </c>
      <c r="L70" s="508">
        <f t="shared" si="3"/>
        <v>0</v>
      </c>
      <c r="M70" s="509" t="s">
        <v>36</v>
      </c>
      <c r="N70" s="578">
        <f t="shared" si="4"/>
        <v>0.99999999999999978</v>
      </c>
      <c r="O70" s="578">
        <v>1</v>
      </c>
      <c r="P70" s="510" t="s">
        <v>37</v>
      </c>
      <c r="Q70" s="212">
        <v>1</v>
      </c>
      <c r="R70" s="511">
        <v>600000</v>
      </c>
      <c r="S70" s="512" t="s">
        <v>38</v>
      </c>
      <c r="T70" s="512" t="s">
        <v>38</v>
      </c>
      <c r="U70" s="513" t="s">
        <v>39</v>
      </c>
      <c r="V70" s="249"/>
      <c r="W70" s="249"/>
    </row>
    <row r="71" spans="1:23" s="188" customFormat="1" ht="71.25">
      <c r="A71" s="504" t="s">
        <v>33</v>
      </c>
      <c r="B71" s="250">
        <v>43447</v>
      </c>
      <c r="C71" s="251" t="s">
        <v>1049</v>
      </c>
      <c r="D71" s="505" t="s">
        <v>127</v>
      </c>
      <c r="E71" s="506" t="s">
        <v>295</v>
      </c>
      <c r="F71" s="507" t="s">
        <v>296</v>
      </c>
      <c r="G71" s="210">
        <f t="shared" si="0"/>
        <v>2476861.65</v>
      </c>
      <c r="H71" s="211">
        <v>2476861.65</v>
      </c>
      <c r="I71" s="210">
        <f t="shared" si="1"/>
        <v>2476861.65</v>
      </c>
      <c r="J71" s="211">
        <f>700442+425784.82+427615.92+767105.39+143505.41+12408.11</f>
        <v>2476861.65</v>
      </c>
      <c r="K71" s="210">
        <f t="shared" si="2"/>
        <v>0</v>
      </c>
      <c r="L71" s="508">
        <f t="shared" si="3"/>
        <v>0</v>
      </c>
      <c r="M71" s="509" t="s">
        <v>57</v>
      </c>
      <c r="N71" s="578">
        <f t="shared" si="4"/>
        <v>1</v>
      </c>
      <c r="O71" s="578">
        <v>1</v>
      </c>
      <c r="P71" s="510" t="s">
        <v>37</v>
      </c>
      <c r="Q71" s="212">
        <v>1</v>
      </c>
      <c r="R71" s="511">
        <v>100000</v>
      </c>
      <c r="S71" s="512" t="s">
        <v>76</v>
      </c>
      <c r="T71" s="512" t="s">
        <v>359</v>
      </c>
      <c r="U71" s="513" t="s">
        <v>360</v>
      </c>
      <c r="V71" s="249"/>
      <c r="W71" s="249"/>
    </row>
    <row r="72" spans="1:23" s="188" customFormat="1" ht="71.25">
      <c r="A72" s="504" t="s">
        <v>33</v>
      </c>
      <c r="B72" s="250">
        <v>43455</v>
      </c>
      <c r="C72" s="251" t="s">
        <v>297</v>
      </c>
      <c r="D72" s="505" t="s">
        <v>298</v>
      </c>
      <c r="E72" s="506" t="s">
        <v>299</v>
      </c>
      <c r="F72" s="507" t="s">
        <v>300</v>
      </c>
      <c r="G72" s="210">
        <f t="shared" si="0"/>
        <v>1169944.8500000001</v>
      </c>
      <c r="H72" s="211">
        <v>1169944.8500000001</v>
      </c>
      <c r="I72" s="210">
        <f t="shared" si="1"/>
        <v>1169944.8500000001</v>
      </c>
      <c r="J72" s="211">
        <f>350983.46+602152.84+216808.55</f>
        <v>1169944.8500000001</v>
      </c>
      <c r="K72" s="210">
        <f t="shared" si="2"/>
        <v>0</v>
      </c>
      <c r="L72" s="508">
        <f t="shared" si="3"/>
        <v>0</v>
      </c>
      <c r="M72" s="509" t="s">
        <v>57</v>
      </c>
      <c r="N72" s="578">
        <f t="shared" si="4"/>
        <v>1</v>
      </c>
      <c r="O72" s="578">
        <v>1</v>
      </c>
      <c r="P72" s="510" t="s">
        <v>37</v>
      </c>
      <c r="Q72" s="212">
        <v>1</v>
      </c>
      <c r="R72" s="511">
        <v>250000</v>
      </c>
      <c r="S72" s="512" t="s">
        <v>76</v>
      </c>
      <c r="T72" s="512" t="s">
        <v>631</v>
      </c>
      <c r="U72" s="513" t="s">
        <v>632</v>
      </c>
      <c r="V72" s="249"/>
      <c r="W72" s="249"/>
    </row>
    <row r="73" spans="1:23" s="188" customFormat="1" ht="85.5">
      <c r="A73" s="504" t="s">
        <v>33</v>
      </c>
      <c r="B73" s="250">
        <v>43410</v>
      </c>
      <c r="C73" s="251" t="s">
        <v>1239</v>
      </c>
      <c r="D73" s="505" t="s">
        <v>298</v>
      </c>
      <c r="E73" s="506" t="s">
        <v>301</v>
      </c>
      <c r="F73" s="507" t="s">
        <v>302</v>
      </c>
      <c r="G73" s="210">
        <f t="shared" si="0"/>
        <v>399839.19</v>
      </c>
      <c r="H73" s="211">
        <v>399839.19</v>
      </c>
      <c r="I73" s="210">
        <f t="shared" si="1"/>
        <v>399839.19</v>
      </c>
      <c r="J73" s="211">
        <f>116492.98+271816.95+11529.26</f>
        <v>399839.19</v>
      </c>
      <c r="K73" s="210">
        <f t="shared" si="2"/>
        <v>0</v>
      </c>
      <c r="L73" s="508">
        <f t="shared" si="3"/>
        <v>0</v>
      </c>
      <c r="M73" s="509" t="s">
        <v>57</v>
      </c>
      <c r="N73" s="578">
        <f t="shared" si="4"/>
        <v>1</v>
      </c>
      <c r="O73" s="578">
        <v>1</v>
      </c>
      <c r="P73" s="510" t="s">
        <v>37</v>
      </c>
      <c r="Q73" s="212">
        <v>1</v>
      </c>
      <c r="R73" s="511">
        <v>100000</v>
      </c>
      <c r="S73" s="512" t="s">
        <v>70</v>
      </c>
      <c r="T73" s="512" t="s">
        <v>349</v>
      </c>
      <c r="U73" s="513" t="s">
        <v>522</v>
      </c>
      <c r="V73" s="249"/>
      <c r="W73" s="249"/>
    </row>
    <row r="74" spans="1:23" s="188" customFormat="1" ht="57">
      <c r="A74" s="504" t="s">
        <v>33</v>
      </c>
      <c r="B74" s="250">
        <v>43257</v>
      </c>
      <c r="C74" s="251" t="s">
        <v>1240</v>
      </c>
      <c r="D74" s="505" t="s">
        <v>127</v>
      </c>
      <c r="E74" s="506" t="s">
        <v>303</v>
      </c>
      <c r="F74" s="507" t="s">
        <v>304</v>
      </c>
      <c r="G74" s="210">
        <f t="shared" si="0"/>
        <v>0</v>
      </c>
      <c r="H74" s="211">
        <v>0</v>
      </c>
      <c r="I74" s="210">
        <f t="shared" si="1"/>
        <v>0</v>
      </c>
      <c r="J74" s="211">
        <v>0</v>
      </c>
      <c r="K74" s="210">
        <f t="shared" si="2"/>
        <v>0</v>
      </c>
      <c r="L74" s="508">
        <f t="shared" si="3"/>
        <v>0</v>
      </c>
      <c r="M74" s="509" t="s">
        <v>57</v>
      </c>
      <c r="N74" s="578" t="e">
        <f t="shared" si="4"/>
        <v>#DIV/0!</v>
      </c>
      <c r="O74" s="578">
        <v>0</v>
      </c>
      <c r="P74" s="510" t="s">
        <v>37</v>
      </c>
      <c r="Q74" s="212">
        <v>1</v>
      </c>
      <c r="R74" s="511">
        <v>100000</v>
      </c>
      <c r="S74" s="512" t="s">
        <v>38</v>
      </c>
      <c r="T74" s="512" t="s">
        <v>38</v>
      </c>
      <c r="U74" s="513" t="s">
        <v>39</v>
      </c>
      <c r="V74" s="249"/>
      <c r="W74" s="249"/>
    </row>
    <row r="75" spans="1:23" s="188" customFormat="1" ht="42.75">
      <c r="A75" s="504" t="s">
        <v>33</v>
      </c>
      <c r="B75" s="250">
        <v>43335</v>
      </c>
      <c r="C75" s="251" t="s">
        <v>1241</v>
      </c>
      <c r="D75" s="505" t="s">
        <v>127</v>
      </c>
      <c r="E75" s="506" t="s">
        <v>305</v>
      </c>
      <c r="F75" s="507" t="s">
        <v>306</v>
      </c>
      <c r="G75" s="210">
        <f t="shared" si="0"/>
        <v>422527.67</v>
      </c>
      <c r="H75" s="211">
        <v>422527.67</v>
      </c>
      <c r="I75" s="210">
        <f t="shared" si="1"/>
        <v>422527.67</v>
      </c>
      <c r="J75" s="211">
        <f>126758.3+285710.12+10059.25</f>
        <v>422527.67</v>
      </c>
      <c r="K75" s="210">
        <f t="shared" si="2"/>
        <v>0</v>
      </c>
      <c r="L75" s="508">
        <f t="shared" si="3"/>
        <v>0</v>
      </c>
      <c r="M75" s="509" t="s">
        <v>57</v>
      </c>
      <c r="N75" s="578">
        <f t="shared" si="4"/>
        <v>1</v>
      </c>
      <c r="O75" s="578">
        <v>1</v>
      </c>
      <c r="P75" s="510" t="s">
        <v>37</v>
      </c>
      <c r="Q75" s="212">
        <v>1</v>
      </c>
      <c r="R75" s="511">
        <v>50000</v>
      </c>
      <c r="S75" s="512" t="s">
        <v>70</v>
      </c>
      <c r="T75" s="512" t="s">
        <v>361</v>
      </c>
      <c r="U75" s="513" t="s">
        <v>362</v>
      </c>
      <c r="V75" s="249"/>
      <c r="W75" s="249"/>
    </row>
    <row r="76" spans="1:23" s="188" customFormat="1" ht="42.75">
      <c r="A76" s="504" t="s">
        <v>33</v>
      </c>
      <c r="B76" s="250">
        <v>43269</v>
      </c>
      <c r="C76" s="251" t="s">
        <v>1242</v>
      </c>
      <c r="D76" s="505" t="s">
        <v>137</v>
      </c>
      <c r="E76" s="506" t="s">
        <v>307</v>
      </c>
      <c r="F76" s="507" t="s">
        <v>308</v>
      </c>
      <c r="G76" s="210">
        <f t="shared" si="0"/>
        <v>192628.37</v>
      </c>
      <c r="H76" s="211">
        <v>192628.37</v>
      </c>
      <c r="I76" s="210">
        <f t="shared" si="1"/>
        <v>192628.37</v>
      </c>
      <c r="J76" s="211">
        <f>158344.11+34284.26</f>
        <v>192628.37</v>
      </c>
      <c r="K76" s="210">
        <f t="shared" si="2"/>
        <v>0</v>
      </c>
      <c r="L76" s="508">
        <f t="shared" si="3"/>
        <v>0</v>
      </c>
      <c r="M76" s="509" t="s">
        <v>57</v>
      </c>
      <c r="N76" s="578">
        <f t="shared" si="4"/>
        <v>1</v>
      </c>
      <c r="O76" s="578">
        <v>1</v>
      </c>
      <c r="P76" s="510" t="s">
        <v>37</v>
      </c>
      <c r="Q76" s="212">
        <v>1</v>
      </c>
      <c r="R76" s="511">
        <v>500</v>
      </c>
      <c r="S76" s="512" t="s">
        <v>70</v>
      </c>
      <c r="T76" s="512" t="s">
        <v>353</v>
      </c>
      <c r="U76" s="513" t="s">
        <v>363</v>
      </c>
      <c r="V76" s="249"/>
      <c r="W76" s="249"/>
    </row>
    <row r="77" spans="1:23" s="188" customFormat="1" ht="42.75">
      <c r="A77" s="504" t="s">
        <v>33</v>
      </c>
      <c r="B77" s="250">
        <v>43410</v>
      </c>
      <c r="C77" s="251" t="s">
        <v>1243</v>
      </c>
      <c r="D77" s="505" t="s">
        <v>197</v>
      </c>
      <c r="E77" s="506" t="s">
        <v>309</v>
      </c>
      <c r="F77" s="507" t="s">
        <v>310</v>
      </c>
      <c r="G77" s="210">
        <f t="shared" si="0"/>
        <v>500000</v>
      </c>
      <c r="H77" s="211">
        <v>500000</v>
      </c>
      <c r="I77" s="210">
        <f t="shared" si="1"/>
        <v>500000</v>
      </c>
      <c r="J77" s="211">
        <f>245977.9+245921.33+8100.77</f>
        <v>500000</v>
      </c>
      <c r="K77" s="210">
        <f t="shared" si="2"/>
        <v>0</v>
      </c>
      <c r="L77" s="508">
        <f t="shared" si="3"/>
        <v>0</v>
      </c>
      <c r="M77" s="509" t="s">
        <v>57</v>
      </c>
      <c r="N77" s="578">
        <f t="shared" si="4"/>
        <v>1</v>
      </c>
      <c r="O77" s="578">
        <v>1</v>
      </c>
      <c r="P77" s="510" t="s">
        <v>37</v>
      </c>
      <c r="Q77" s="212">
        <v>1</v>
      </c>
      <c r="R77" s="511">
        <v>50000</v>
      </c>
      <c r="S77" s="512" t="s">
        <v>70</v>
      </c>
      <c r="T77" s="512" t="s">
        <v>364</v>
      </c>
      <c r="U77" s="513" t="s">
        <v>365</v>
      </c>
      <c r="V77" s="249"/>
      <c r="W77" s="249"/>
    </row>
    <row r="78" spans="1:23" s="188" customFormat="1" ht="71.25">
      <c r="A78" s="504" t="s">
        <v>33</v>
      </c>
      <c r="B78" s="250">
        <v>43444</v>
      </c>
      <c r="C78" s="251" t="s">
        <v>1244</v>
      </c>
      <c r="D78" s="505" t="s">
        <v>127</v>
      </c>
      <c r="E78" s="506" t="s">
        <v>366</v>
      </c>
      <c r="F78" s="507" t="s">
        <v>367</v>
      </c>
      <c r="G78" s="210">
        <f t="shared" si="0"/>
        <v>2018823.08</v>
      </c>
      <c r="H78" s="211">
        <v>2018823.08</v>
      </c>
      <c r="I78" s="210">
        <f t="shared" si="1"/>
        <v>2018823.08</v>
      </c>
      <c r="J78" s="211">
        <f>564449.05+331084.77+156800.81+616357.19+338774.96+11356.3</f>
        <v>2018823.08</v>
      </c>
      <c r="K78" s="210">
        <f t="shared" si="2"/>
        <v>0</v>
      </c>
      <c r="L78" s="508">
        <f t="shared" si="3"/>
        <v>0</v>
      </c>
      <c r="M78" s="509" t="s">
        <v>57</v>
      </c>
      <c r="N78" s="578">
        <f t="shared" si="4"/>
        <v>1</v>
      </c>
      <c r="O78" s="578">
        <v>1</v>
      </c>
      <c r="P78" s="510" t="s">
        <v>37</v>
      </c>
      <c r="Q78" s="212">
        <v>1</v>
      </c>
      <c r="R78" s="511">
        <v>150000</v>
      </c>
      <c r="S78" s="512" t="s">
        <v>76</v>
      </c>
      <c r="T78" s="512" t="s">
        <v>211</v>
      </c>
      <c r="U78" s="513" t="s">
        <v>523</v>
      </c>
      <c r="V78" s="249"/>
      <c r="W78" s="249"/>
    </row>
    <row r="79" spans="1:23" s="188" customFormat="1" ht="71.25">
      <c r="A79" s="504" t="s">
        <v>33</v>
      </c>
      <c r="B79" s="250">
        <v>43444</v>
      </c>
      <c r="C79" s="251" t="s">
        <v>1245</v>
      </c>
      <c r="D79" s="505" t="s">
        <v>127</v>
      </c>
      <c r="E79" s="506" t="s">
        <v>368</v>
      </c>
      <c r="F79" s="507" t="s">
        <v>369</v>
      </c>
      <c r="G79" s="210">
        <f t="shared" si="0"/>
        <v>1940215.91</v>
      </c>
      <c r="H79" s="211">
        <v>1940215.91</v>
      </c>
      <c r="I79" s="210">
        <f t="shared" si="1"/>
        <v>1940215.91</v>
      </c>
      <c r="J79" s="211">
        <f>540697.6+26142.33+145225.14+129869.96+112784.86+985496.02</f>
        <v>1940215.91</v>
      </c>
      <c r="K79" s="210">
        <f t="shared" si="2"/>
        <v>0</v>
      </c>
      <c r="L79" s="508">
        <f t="shared" si="3"/>
        <v>0</v>
      </c>
      <c r="M79" s="509" t="s">
        <v>57</v>
      </c>
      <c r="N79" s="578">
        <f t="shared" si="4"/>
        <v>1</v>
      </c>
      <c r="O79" s="578">
        <v>1</v>
      </c>
      <c r="P79" s="510" t="s">
        <v>37</v>
      </c>
      <c r="Q79" s="212">
        <v>1</v>
      </c>
      <c r="R79" s="511">
        <v>150000</v>
      </c>
      <c r="S79" s="512" t="s">
        <v>76</v>
      </c>
      <c r="T79" s="512" t="s">
        <v>267</v>
      </c>
      <c r="U79" s="513" t="s">
        <v>524</v>
      </c>
      <c r="V79" s="249"/>
      <c r="W79" s="249"/>
    </row>
    <row r="80" spans="1:23" s="188" customFormat="1" ht="71.25">
      <c r="A80" s="504" t="s">
        <v>33</v>
      </c>
      <c r="B80" s="250">
        <v>43444</v>
      </c>
      <c r="C80" s="251" t="s">
        <v>1246</v>
      </c>
      <c r="D80" s="505" t="s">
        <v>127</v>
      </c>
      <c r="E80" s="506" t="s">
        <v>370</v>
      </c>
      <c r="F80" s="507" t="s">
        <v>371</v>
      </c>
      <c r="G80" s="210">
        <f t="shared" si="0"/>
        <v>2609110.5699999998</v>
      </c>
      <c r="H80" s="211">
        <v>2609110.5699999998</v>
      </c>
      <c r="I80" s="210">
        <f t="shared" si="1"/>
        <v>2609110.56</v>
      </c>
      <c r="J80" s="211">
        <f>746948.8+157656.73+691702.18+1012802.85</f>
        <v>2609110.56</v>
      </c>
      <c r="K80" s="210">
        <f t="shared" si="2"/>
        <v>9.9999997764825821E-3</v>
      </c>
      <c r="L80" s="508">
        <f t="shared" si="3"/>
        <v>9.9999997764825821E-3</v>
      </c>
      <c r="M80" s="509" t="s">
        <v>57</v>
      </c>
      <c r="N80" s="578">
        <f t="shared" si="4"/>
        <v>0.99999999616727631</v>
      </c>
      <c r="O80" s="578">
        <v>1</v>
      </c>
      <c r="P80" s="510" t="s">
        <v>37</v>
      </c>
      <c r="Q80" s="212">
        <v>1</v>
      </c>
      <c r="R80" s="511">
        <v>150000</v>
      </c>
      <c r="S80" s="512" t="s">
        <v>76</v>
      </c>
      <c r="T80" s="512" t="s">
        <v>633</v>
      </c>
      <c r="U80" s="513" t="s">
        <v>634</v>
      </c>
      <c r="V80" s="249"/>
      <c r="W80" s="249"/>
    </row>
    <row r="81" spans="1:23" s="188" customFormat="1" ht="71.25">
      <c r="A81" s="504" t="s">
        <v>33</v>
      </c>
      <c r="B81" s="250">
        <v>43444</v>
      </c>
      <c r="C81" s="251" t="s">
        <v>1247</v>
      </c>
      <c r="D81" s="505" t="s">
        <v>127</v>
      </c>
      <c r="E81" s="506" t="s">
        <v>372</v>
      </c>
      <c r="F81" s="507" t="s">
        <v>373</v>
      </c>
      <c r="G81" s="210">
        <f t="shared" si="0"/>
        <v>2390889.42</v>
      </c>
      <c r="H81" s="211">
        <v>2390889.42</v>
      </c>
      <c r="I81" s="210">
        <f t="shared" si="1"/>
        <v>2390889.42</v>
      </c>
      <c r="J81" s="211">
        <f>690594.67+322944.58+441316.78+831187.55+104845.84</f>
        <v>2390889.42</v>
      </c>
      <c r="K81" s="210">
        <f t="shared" si="2"/>
        <v>0</v>
      </c>
      <c r="L81" s="508">
        <f t="shared" si="3"/>
        <v>0</v>
      </c>
      <c r="M81" s="509" t="s">
        <v>57</v>
      </c>
      <c r="N81" s="578">
        <f t="shared" si="4"/>
        <v>1</v>
      </c>
      <c r="O81" s="578">
        <v>1</v>
      </c>
      <c r="P81" s="510" t="s">
        <v>37</v>
      </c>
      <c r="Q81" s="212">
        <v>1</v>
      </c>
      <c r="R81" s="511">
        <v>150000</v>
      </c>
      <c r="S81" s="512" t="s">
        <v>76</v>
      </c>
      <c r="T81" s="512" t="s">
        <v>635</v>
      </c>
      <c r="U81" s="513" t="s">
        <v>636</v>
      </c>
      <c r="V81" s="249"/>
      <c r="W81" s="249"/>
    </row>
    <row r="82" spans="1:23" s="188" customFormat="1" ht="57">
      <c r="A82" s="504" t="s">
        <v>33</v>
      </c>
      <c r="B82" s="250">
        <v>43227</v>
      </c>
      <c r="C82" s="251" t="s">
        <v>374</v>
      </c>
      <c r="D82" s="505" t="s">
        <v>127</v>
      </c>
      <c r="E82" s="506" t="s">
        <v>375</v>
      </c>
      <c r="F82" s="507" t="s">
        <v>376</v>
      </c>
      <c r="G82" s="210">
        <f t="shared" si="0"/>
        <v>10000000</v>
      </c>
      <c r="H82" s="211">
        <v>10000000</v>
      </c>
      <c r="I82" s="210">
        <f t="shared" si="1"/>
        <v>10000000</v>
      </c>
      <c r="J82" s="211">
        <f>2408968.71+1199710.06+1661545.81+1744562.66+2985212.76</f>
        <v>10000000</v>
      </c>
      <c r="K82" s="210">
        <f t="shared" si="2"/>
        <v>0</v>
      </c>
      <c r="L82" s="508">
        <f t="shared" si="3"/>
        <v>0</v>
      </c>
      <c r="M82" s="509" t="s">
        <v>57</v>
      </c>
      <c r="N82" s="578">
        <f t="shared" si="4"/>
        <v>1</v>
      </c>
      <c r="O82" s="578">
        <v>1</v>
      </c>
      <c r="P82" s="510" t="s">
        <v>63</v>
      </c>
      <c r="Q82" s="212">
        <v>7766.4</v>
      </c>
      <c r="R82" s="511">
        <v>100000</v>
      </c>
      <c r="S82" s="512" t="s">
        <v>64</v>
      </c>
      <c r="T82" s="512" t="s">
        <v>525</v>
      </c>
      <c r="U82" s="513" t="s">
        <v>526</v>
      </c>
      <c r="V82" s="249"/>
      <c r="W82" s="249"/>
    </row>
    <row r="83" spans="1:23" s="188" customFormat="1" ht="42.75">
      <c r="A83" s="504" t="s">
        <v>33</v>
      </c>
      <c r="B83" s="250">
        <v>43417</v>
      </c>
      <c r="C83" s="251" t="s">
        <v>1248</v>
      </c>
      <c r="D83" s="505" t="s">
        <v>197</v>
      </c>
      <c r="E83" s="506" t="s">
        <v>311</v>
      </c>
      <c r="F83" s="507" t="s">
        <v>312</v>
      </c>
      <c r="G83" s="210">
        <f t="shared" si="0"/>
        <v>682826.38</v>
      </c>
      <c r="H83" s="211">
        <v>682826.38</v>
      </c>
      <c r="I83" s="210">
        <f t="shared" si="1"/>
        <v>682826.38000000012</v>
      </c>
      <c r="J83" s="211">
        <f>204847.92+417834.9+60143.56</f>
        <v>682826.38000000012</v>
      </c>
      <c r="K83" s="210">
        <f t="shared" si="2"/>
        <v>0</v>
      </c>
      <c r="L83" s="508">
        <f t="shared" si="3"/>
        <v>0</v>
      </c>
      <c r="M83" s="509" t="s">
        <v>57</v>
      </c>
      <c r="N83" s="578">
        <f t="shared" si="4"/>
        <v>1.0000000000000002</v>
      </c>
      <c r="O83" s="578">
        <v>1</v>
      </c>
      <c r="P83" s="510" t="s">
        <v>37</v>
      </c>
      <c r="Q83" s="212">
        <v>1</v>
      </c>
      <c r="R83" s="511">
        <v>100000</v>
      </c>
      <c r="S83" s="512" t="s">
        <v>70</v>
      </c>
      <c r="T83" s="512" t="s">
        <v>527</v>
      </c>
      <c r="U83" s="513" t="s">
        <v>528</v>
      </c>
      <c r="V83" s="249"/>
      <c r="W83" s="249"/>
    </row>
    <row r="84" spans="1:23" s="188" customFormat="1" ht="29.25">
      <c r="A84" s="504" t="s">
        <v>33</v>
      </c>
      <c r="B84" s="250">
        <v>43346</v>
      </c>
      <c r="C84" s="251" t="s">
        <v>1249</v>
      </c>
      <c r="D84" s="505" t="s">
        <v>197</v>
      </c>
      <c r="E84" s="506" t="s">
        <v>313</v>
      </c>
      <c r="F84" s="507" t="s">
        <v>314</v>
      </c>
      <c r="G84" s="210">
        <f t="shared" si="0"/>
        <v>878585.73</v>
      </c>
      <c r="H84" s="211">
        <v>878585.73</v>
      </c>
      <c r="I84" s="210">
        <f t="shared" si="1"/>
        <v>878585.72</v>
      </c>
      <c r="J84" s="211">
        <f>244556.33+181496.86+441153.89+11378.64</f>
        <v>878585.72</v>
      </c>
      <c r="K84" s="210">
        <f t="shared" si="2"/>
        <v>1.0000000009313226E-2</v>
      </c>
      <c r="L84" s="508">
        <f t="shared" si="3"/>
        <v>1.0000000009313226E-2</v>
      </c>
      <c r="M84" s="509" t="s">
        <v>57</v>
      </c>
      <c r="N84" s="578">
        <f t="shared" si="4"/>
        <v>0.99999998861807149</v>
      </c>
      <c r="O84" s="578">
        <v>1</v>
      </c>
      <c r="P84" s="510" t="s">
        <v>37</v>
      </c>
      <c r="Q84" s="212">
        <v>1</v>
      </c>
      <c r="R84" s="511">
        <v>150000</v>
      </c>
      <c r="S84" s="512" t="s">
        <v>70</v>
      </c>
      <c r="T84" s="512" t="s">
        <v>377</v>
      </c>
      <c r="U84" s="513" t="s">
        <v>378</v>
      </c>
      <c r="V84" s="249"/>
      <c r="W84" s="249"/>
    </row>
    <row r="85" spans="1:23" s="188" customFormat="1" ht="57">
      <c r="A85" s="504" t="s">
        <v>33</v>
      </c>
      <c r="B85" s="250">
        <v>43444</v>
      </c>
      <c r="C85" s="251" t="s">
        <v>1250</v>
      </c>
      <c r="D85" s="505" t="s">
        <v>127</v>
      </c>
      <c r="E85" s="506" t="s">
        <v>379</v>
      </c>
      <c r="F85" s="507" t="s">
        <v>380</v>
      </c>
      <c r="G85" s="210">
        <f t="shared" si="0"/>
        <v>1188573.6200000001</v>
      </c>
      <c r="H85" s="211">
        <v>1188573.6200000001</v>
      </c>
      <c r="I85" s="210">
        <f t="shared" si="1"/>
        <v>1188573.6100000001</v>
      </c>
      <c r="J85" s="211">
        <f>356572.09+319086.45+462726.27+50188.8</f>
        <v>1188573.6100000001</v>
      </c>
      <c r="K85" s="210">
        <f t="shared" si="2"/>
        <v>1.0000000009313226E-2</v>
      </c>
      <c r="L85" s="508">
        <f t="shared" si="3"/>
        <v>1.0000000009313226E-2</v>
      </c>
      <c r="M85" s="509" t="s">
        <v>57</v>
      </c>
      <c r="N85" s="578">
        <f t="shared" si="4"/>
        <v>0.99999999158655395</v>
      </c>
      <c r="O85" s="578">
        <v>1</v>
      </c>
      <c r="P85" s="510" t="s">
        <v>63</v>
      </c>
      <c r="Q85" s="212">
        <v>1355.16</v>
      </c>
      <c r="R85" s="511">
        <v>1250</v>
      </c>
      <c r="S85" s="512" t="s">
        <v>266</v>
      </c>
      <c r="T85" s="512" t="s">
        <v>637</v>
      </c>
      <c r="U85" s="513" t="s">
        <v>638</v>
      </c>
      <c r="V85" s="249"/>
      <c r="W85" s="249"/>
    </row>
    <row r="86" spans="1:23" s="188" customFormat="1" ht="57">
      <c r="A86" s="504" t="s">
        <v>33</v>
      </c>
      <c r="B86" s="250">
        <v>43444</v>
      </c>
      <c r="C86" s="251" t="s">
        <v>1251</v>
      </c>
      <c r="D86" s="505" t="s">
        <v>127</v>
      </c>
      <c r="E86" s="506" t="s">
        <v>381</v>
      </c>
      <c r="F86" s="507" t="s">
        <v>382</v>
      </c>
      <c r="G86" s="210">
        <f t="shared" si="0"/>
        <v>895692.74</v>
      </c>
      <c r="H86" s="211">
        <v>895692.74</v>
      </c>
      <c r="I86" s="210">
        <f t="shared" si="1"/>
        <v>895692.74</v>
      </c>
      <c r="J86" s="211">
        <f>255430.5+547589.9+79532.02+13140.32</f>
        <v>895692.74</v>
      </c>
      <c r="K86" s="210">
        <f t="shared" si="2"/>
        <v>0</v>
      </c>
      <c r="L86" s="508">
        <f t="shared" si="3"/>
        <v>0</v>
      </c>
      <c r="M86" s="509" t="s">
        <v>57</v>
      </c>
      <c r="N86" s="578">
        <f t="shared" si="4"/>
        <v>1</v>
      </c>
      <c r="O86" s="578">
        <v>1</v>
      </c>
      <c r="P86" s="510" t="s">
        <v>37</v>
      </c>
      <c r="Q86" s="212">
        <v>1</v>
      </c>
      <c r="R86" s="511">
        <v>150000</v>
      </c>
      <c r="S86" s="512" t="s">
        <v>70</v>
      </c>
      <c r="T86" s="512" t="s">
        <v>809</v>
      </c>
      <c r="U86" s="513" t="s">
        <v>1009</v>
      </c>
      <c r="V86" s="249"/>
      <c r="W86" s="249"/>
    </row>
    <row r="87" spans="1:23" s="188" customFormat="1" ht="42.75">
      <c r="A87" s="504" t="s">
        <v>33</v>
      </c>
      <c r="B87" s="250">
        <v>43434</v>
      </c>
      <c r="C87" s="251" t="s">
        <v>1252</v>
      </c>
      <c r="D87" s="505" t="s">
        <v>127</v>
      </c>
      <c r="E87" s="506" t="s">
        <v>383</v>
      </c>
      <c r="F87" s="507" t="s">
        <v>384</v>
      </c>
      <c r="G87" s="210">
        <f t="shared" si="0"/>
        <v>378535.57</v>
      </c>
      <c r="H87" s="211">
        <v>378535.57</v>
      </c>
      <c r="I87" s="210">
        <f t="shared" si="1"/>
        <v>378535.57</v>
      </c>
      <c r="J87" s="211">
        <f>111411.57+261654.91+5469.09</f>
        <v>378535.57</v>
      </c>
      <c r="K87" s="210">
        <f t="shared" si="2"/>
        <v>0</v>
      </c>
      <c r="L87" s="508">
        <f t="shared" si="3"/>
        <v>0</v>
      </c>
      <c r="M87" s="509" t="s">
        <v>57</v>
      </c>
      <c r="N87" s="578">
        <f t="shared" si="4"/>
        <v>1</v>
      </c>
      <c r="O87" s="578">
        <v>1</v>
      </c>
      <c r="P87" s="510" t="s">
        <v>37</v>
      </c>
      <c r="Q87" s="212">
        <v>1</v>
      </c>
      <c r="R87" s="511">
        <v>50000</v>
      </c>
      <c r="S87" s="512" t="s">
        <v>70</v>
      </c>
      <c r="T87" s="512" t="s">
        <v>364</v>
      </c>
      <c r="U87" s="513" t="s">
        <v>529</v>
      </c>
      <c r="V87" s="249"/>
      <c r="W87" s="249"/>
    </row>
    <row r="88" spans="1:23" s="188" customFormat="1" ht="57">
      <c r="A88" s="504" t="s">
        <v>33</v>
      </c>
      <c r="B88" s="250">
        <v>43453</v>
      </c>
      <c r="C88" s="251" t="s">
        <v>1253</v>
      </c>
      <c r="D88" s="505" t="s">
        <v>127</v>
      </c>
      <c r="E88" s="506" t="s">
        <v>385</v>
      </c>
      <c r="F88" s="507" t="s">
        <v>386</v>
      </c>
      <c r="G88" s="210">
        <f t="shared" si="0"/>
        <v>663169.92000000004</v>
      </c>
      <c r="H88" s="211">
        <v>663169.92000000004</v>
      </c>
      <c r="I88" s="210">
        <f t="shared" si="1"/>
        <v>663169.91999999993</v>
      </c>
      <c r="J88" s="211">
        <f>189462.29+244535.46+215259.34+13912.83</f>
        <v>663169.91999999993</v>
      </c>
      <c r="K88" s="210">
        <f t="shared" si="2"/>
        <v>0</v>
      </c>
      <c r="L88" s="508">
        <f t="shared" si="3"/>
        <v>0</v>
      </c>
      <c r="M88" s="509" t="s">
        <v>57</v>
      </c>
      <c r="N88" s="578">
        <f t="shared" si="4"/>
        <v>0.99999999999999978</v>
      </c>
      <c r="O88" s="578">
        <v>1</v>
      </c>
      <c r="P88" s="510" t="s">
        <v>37</v>
      </c>
      <c r="Q88" s="212">
        <v>1</v>
      </c>
      <c r="R88" s="511">
        <v>150000</v>
      </c>
      <c r="S88" s="512" t="s">
        <v>70</v>
      </c>
      <c r="T88" s="512" t="s">
        <v>1010</v>
      </c>
      <c r="U88" s="513" t="s">
        <v>1011</v>
      </c>
      <c r="V88" s="249"/>
      <c r="W88" s="249"/>
    </row>
    <row r="89" spans="1:23" s="188" customFormat="1" ht="57">
      <c r="A89" s="504" t="s">
        <v>33</v>
      </c>
      <c r="B89" s="250">
        <v>43251</v>
      </c>
      <c r="C89" s="251" t="s">
        <v>387</v>
      </c>
      <c r="D89" s="505" t="s">
        <v>388</v>
      </c>
      <c r="E89" s="506" t="s">
        <v>389</v>
      </c>
      <c r="F89" s="507" t="s">
        <v>390</v>
      </c>
      <c r="G89" s="210">
        <f t="shared" si="0"/>
        <v>749008.65</v>
      </c>
      <c r="H89" s="211">
        <f>I89</f>
        <v>749008.65</v>
      </c>
      <c r="I89" s="210">
        <f t="shared" si="1"/>
        <v>749008.65</v>
      </c>
      <c r="J89" s="211">
        <f>374504.33+154152.41+220351.91</f>
        <v>749008.65</v>
      </c>
      <c r="K89" s="210">
        <f t="shared" si="2"/>
        <v>0</v>
      </c>
      <c r="L89" s="508">
        <f t="shared" si="3"/>
        <v>0</v>
      </c>
      <c r="M89" s="509" t="s">
        <v>57</v>
      </c>
      <c r="N89" s="578">
        <f t="shared" si="4"/>
        <v>1</v>
      </c>
      <c r="O89" s="578">
        <v>1</v>
      </c>
      <c r="P89" s="510" t="s">
        <v>37</v>
      </c>
      <c r="Q89" s="212">
        <v>1</v>
      </c>
      <c r="R89" s="511">
        <v>125000</v>
      </c>
      <c r="S89" s="512" t="s">
        <v>70</v>
      </c>
      <c r="T89" s="512" t="s">
        <v>639</v>
      </c>
      <c r="U89" s="513" t="s">
        <v>640</v>
      </c>
      <c r="V89" s="249"/>
      <c r="W89" s="249"/>
    </row>
    <row r="90" spans="1:23" s="188" customFormat="1" ht="57">
      <c r="A90" s="504" t="s">
        <v>33</v>
      </c>
      <c r="B90" s="250">
        <v>43427</v>
      </c>
      <c r="C90" s="251" t="s">
        <v>1254</v>
      </c>
      <c r="D90" s="505" t="s">
        <v>137</v>
      </c>
      <c r="E90" s="506" t="s">
        <v>530</v>
      </c>
      <c r="F90" s="507" t="s">
        <v>531</v>
      </c>
      <c r="G90" s="210">
        <f t="shared" si="0"/>
        <v>225722.39</v>
      </c>
      <c r="H90" s="211">
        <v>225722.39</v>
      </c>
      <c r="I90" s="210">
        <f t="shared" si="1"/>
        <v>225722.39</v>
      </c>
      <c r="J90" s="211">
        <f>214550.85+11171.54</f>
        <v>225722.39</v>
      </c>
      <c r="K90" s="210">
        <f t="shared" si="2"/>
        <v>0</v>
      </c>
      <c r="L90" s="508">
        <f t="shared" si="3"/>
        <v>0</v>
      </c>
      <c r="M90" s="509" t="s">
        <v>57</v>
      </c>
      <c r="N90" s="578">
        <f t="shared" si="4"/>
        <v>1</v>
      </c>
      <c r="O90" s="578">
        <v>1</v>
      </c>
      <c r="P90" s="510" t="s">
        <v>37</v>
      </c>
      <c r="Q90" s="212">
        <v>1</v>
      </c>
      <c r="R90" s="511">
        <v>2000</v>
      </c>
      <c r="S90" s="512" t="s">
        <v>70</v>
      </c>
      <c r="T90" s="512" t="s">
        <v>809</v>
      </c>
      <c r="U90" s="513" t="s">
        <v>810</v>
      </c>
      <c r="V90" s="249"/>
      <c r="W90" s="249"/>
    </row>
    <row r="91" spans="1:23" s="188" customFormat="1" ht="71.25">
      <c r="A91" s="504" t="s">
        <v>33</v>
      </c>
      <c r="B91" s="250">
        <v>43460</v>
      </c>
      <c r="C91" s="251" t="s">
        <v>1050</v>
      </c>
      <c r="D91" s="505" t="s">
        <v>298</v>
      </c>
      <c r="E91" s="506" t="s">
        <v>641</v>
      </c>
      <c r="F91" s="507" t="s">
        <v>1255</v>
      </c>
      <c r="G91" s="210">
        <f t="shared" si="0"/>
        <v>21000000</v>
      </c>
      <c r="H91" s="211">
        <v>21000000</v>
      </c>
      <c r="I91" s="210">
        <f t="shared" si="1"/>
        <v>11480166.140000001</v>
      </c>
      <c r="J91" s="211">
        <f>5243181.42+4415244.04+1821740.68</f>
        <v>11480166.140000001</v>
      </c>
      <c r="K91" s="210">
        <f t="shared" si="2"/>
        <v>9519833.8599999994</v>
      </c>
      <c r="L91" s="508">
        <f>G91-I91</f>
        <v>9519833.8599999994</v>
      </c>
      <c r="M91" s="509" t="s">
        <v>57</v>
      </c>
      <c r="N91" s="578">
        <f t="shared" si="4"/>
        <v>0.54667457809523812</v>
      </c>
      <c r="O91" s="578">
        <v>0.41110000000000002</v>
      </c>
      <c r="P91" s="510" t="s">
        <v>37</v>
      </c>
      <c r="Q91" s="212">
        <v>1</v>
      </c>
      <c r="R91" s="511">
        <v>1100000</v>
      </c>
      <c r="S91" s="512" t="s">
        <v>64</v>
      </c>
      <c r="T91" s="512" t="s">
        <v>216</v>
      </c>
      <c r="U91" s="513" t="s">
        <v>811</v>
      </c>
      <c r="V91" s="249"/>
      <c r="W91" s="249"/>
    </row>
    <row r="92" spans="1:23" s="188" customFormat="1" ht="72">
      <c r="A92" s="504" t="s">
        <v>33</v>
      </c>
      <c r="B92" s="250">
        <v>42913</v>
      </c>
      <c r="C92" s="251" t="s">
        <v>532</v>
      </c>
      <c r="D92" s="505" t="s">
        <v>127</v>
      </c>
      <c r="E92" s="506" t="s">
        <v>533</v>
      </c>
      <c r="F92" s="507" t="s">
        <v>1256</v>
      </c>
      <c r="G92" s="210">
        <f t="shared" si="0"/>
        <v>2569522.69</v>
      </c>
      <c r="H92" s="211">
        <v>2569522.69</v>
      </c>
      <c r="I92" s="210">
        <f t="shared" si="1"/>
        <v>1228314.71</v>
      </c>
      <c r="J92" s="211">
        <f>770856.81+457457.9</f>
        <v>1228314.71</v>
      </c>
      <c r="K92" s="210">
        <f t="shared" si="2"/>
        <v>1341207.98</v>
      </c>
      <c r="L92" s="508">
        <f t="shared" si="3"/>
        <v>1341207.98</v>
      </c>
      <c r="M92" s="509" t="s">
        <v>57</v>
      </c>
      <c r="N92" s="578">
        <f t="shared" si="4"/>
        <v>0.47803224886097423</v>
      </c>
      <c r="O92" s="578">
        <v>0.4</v>
      </c>
      <c r="P92" s="510" t="s">
        <v>63</v>
      </c>
      <c r="Q92" s="212">
        <v>750</v>
      </c>
      <c r="R92" s="511">
        <v>100000</v>
      </c>
      <c r="S92" s="512" t="s">
        <v>76</v>
      </c>
      <c r="T92" s="512" t="s">
        <v>850</v>
      </c>
      <c r="U92" s="513" t="s">
        <v>851</v>
      </c>
      <c r="V92" s="249"/>
      <c r="W92" s="249"/>
    </row>
    <row r="93" spans="1:23" s="188" customFormat="1" ht="85.5">
      <c r="A93" s="504" t="s">
        <v>33</v>
      </c>
      <c r="B93" s="250">
        <v>42913</v>
      </c>
      <c r="C93" s="251" t="s">
        <v>534</v>
      </c>
      <c r="D93" s="505" t="s">
        <v>127</v>
      </c>
      <c r="E93" s="506" t="s">
        <v>535</v>
      </c>
      <c r="F93" s="507" t="s">
        <v>1257</v>
      </c>
      <c r="G93" s="210">
        <f t="shared" si="0"/>
        <v>609843.58000000007</v>
      </c>
      <c r="H93" s="211">
        <f>182953.07+426890.51</f>
        <v>609843.58000000007</v>
      </c>
      <c r="I93" s="210">
        <f t="shared" si="1"/>
        <v>182953.07</v>
      </c>
      <c r="J93" s="211">
        <f>182953.07</f>
        <v>182953.07</v>
      </c>
      <c r="K93" s="210">
        <f t="shared" si="2"/>
        <v>426890.51000000007</v>
      </c>
      <c r="L93" s="508">
        <f t="shared" si="3"/>
        <v>426890.51000000007</v>
      </c>
      <c r="M93" s="509" t="s">
        <v>57</v>
      </c>
      <c r="N93" s="578">
        <f t="shared" si="4"/>
        <v>0.29999999344094103</v>
      </c>
      <c r="O93" s="578">
        <v>0.05</v>
      </c>
      <c r="P93" s="510" t="s">
        <v>37</v>
      </c>
      <c r="Q93" s="212">
        <v>1</v>
      </c>
      <c r="R93" s="511">
        <v>100000</v>
      </c>
      <c r="S93" s="512" t="s">
        <v>70</v>
      </c>
      <c r="T93" s="512" t="s">
        <v>1012</v>
      </c>
      <c r="U93" s="513" t="s">
        <v>1013</v>
      </c>
      <c r="V93" s="249"/>
      <c r="W93" s="249"/>
    </row>
    <row r="94" spans="1:23" s="188" customFormat="1" ht="85.5">
      <c r="A94" s="504" t="s">
        <v>33</v>
      </c>
      <c r="B94" s="250">
        <v>43291</v>
      </c>
      <c r="C94" s="251" t="s">
        <v>642</v>
      </c>
      <c r="D94" s="505" t="s">
        <v>192</v>
      </c>
      <c r="E94" s="506" t="s">
        <v>643</v>
      </c>
      <c r="F94" s="507" t="s">
        <v>644</v>
      </c>
      <c r="G94" s="210">
        <f t="shared" si="0"/>
        <v>322021.73</v>
      </c>
      <c r="H94" s="211">
        <f>I94</f>
        <v>322021.73</v>
      </c>
      <c r="I94" s="210">
        <f t="shared" si="1"/>
        <v>322021.73</v>
      </c>
      <c r="J94" s="211">
        <f>322021.73</f>
        <v>322021.73</v>
      </c>
      <c r="K94" s="210">
        <f t="shared" si="2"/>
        <v>0</v>
      </c>
      <c r="L94" s="508">
        <f t="shared" si="3"/>
        <v>0</v>
      </c>
      <c r="M94" s="509" t="s">
        <v>57</v>
      </c>
      <c r="N94" s="578">
        <f t="shared" si="4"/>
        <v>1</v>
      </c>
      <c r="O94" s="578">
        <v>1</v>
      </c>
      <c r="P94" s="510" t="s">
        <v>37</v>
      </c>
      <c r="Q94" s="212">
        <v>1</v>
      </c>
      <c r="R94" s="511">
        <v>2500</v>
      </c>
      <c r="S94" s="512" t="s">
        <v>70</v>
      </c>
      <c r="T94" s="512" t="s">
        <v>1014</v>
      </c>
      <c r="U94" s="513" t="s">
        <v>1015</v>
      </c>
      <c r="V94" s="249"/>
      <c r="W94" s="249"/>
    </row>
    <row r="95" spans="1:23" s="188" customFormat="1" ht="99.75">
      <c r="A95" s="504" t="s">
        <v>33</v>
      </c>
      <c r="B95" s="250">
        <v>43291</v>
      </c>
      <c r="C95" s="251" t="s">
        <v>645</v>
      </c>
      <c r="D95" s="505" t="s">
        <v>192</v>
      </c>
      <c r="E95" s="506" t="s">
        <v>646</v>
      </c>
      <c r="F95" s="507" t="s">
        <v>647</v>
      </c>
      <c r="G95" s="210">
        <f t="shared" si="0"/>
        <v>1114970.3</v>
      </c>
      <c r="H95" s="211">
        <f>I95</f>
        <v>1114970.3</v>
      </c>
      <c r="I95" s="210">
        <f t="shared" si="1"/>
        <v>1114970.3</v>
      </c>
      <c r="J95" s="211">
        <f>1114970.3</f>
        <v>1114970.3</v>
      </c>
      <c r="K95" s="210">
        <f t="shared" si="2"/>
        <v>0</v>
      </c>
      <c r="L95" s="508">
        <f t="shared" si="3"/>
        <v>0</v>
      </c>
      <c r="M95" s="509" t="s">
        <v>57</v>
      </c>
      <c r="N95" s="578">
        <f t="shared" si="4"/>
        <v>1</v>
      </c>
      <c r="O95" s="578">
        <v>1</v>
      </c>
      <c r="P95" s="510" t="s">
        <v>37</v>
      </c>
      <c r="Q95" s="212">
        <v>1</v>
      </c>
      <c r="R95" s="511">
        <v>2500</v>
      </c>
      <c r="S95" s="512" t="s">
        <v>70</v>
      </c>
      <c r="T95" s="512" t="s">
        <v>1016</v>
      </c>
      <c r="U95" s="513" t="s">
        <v>1017</v>
      </c>
      <c r="V95" s="249"/>
      <c r="W95" s="249"/>
    </row>
    <row r="96" spans="1:23" s="188" customFormat="1" ht="99.75">
      <c r="A96" s="504" t="s">
        <v>33</v>
      </c>
      <c r="B96" s="250">
        <v>43291</v>
      </c>
      <c r="C96" s="251" t="s">
        <v>648</v>
      </c>
      <c r="D96" s="505" t="s">
        <v>192</v>
      </c>
      <c r="E96" s="506" t="s">
        <v>649</v>
      </c>
      <c r="F96" s="507" t="s">
        <v>650</v>
      </c>
      <c r="G96" s="210">
        <f t="shared" si="0"/>
        <v>664848.62</v>
      </c>
      <c r="H96" s="211">
        <f>I96</f>
        <v>664848.62</v>
      </c>
      <c r="I96" s="210">
        <f t="shared" si="1"/>
        <v>664848.62</v>
      </c>
      <c r="J96" s="211">
        <f>641011.87+23836.75</f>
        <v>664848.62</v>
      </c>
      <c r="K96" s="210">
        <f t="shared" si="2"/>
        <v>0</v>
      </c>
      <c r="L96" s="508">
        <f t="shared" si="3"/>
        <v>0</v>
      </c>
      <c r="M96" s="509" t="s">
        <v>57</v>
      </c>
      <c r="N96" s="578">
        <f t="shared" si="4"/>
        <v>1</v>
      </c>
      <c r="O96" s="578">
        <v>1</v>
      </c>
      <c r="P96" s="510" t="s">
        <v>37</v>
      </c>
      <c r="Q96" s="212">
        <v>1</v>
      </c>
      <c r="R96" s="511">
        <v>2500</v>
      </c>
      <c r="S96" s="512" t="s">
        <v>70</v>
      </c>
      <c r="T96" s="512" t="s">
        <v>852</v>
      </c>
      <c r="U96" s="513" t="s">
        <v>853</v>
      </c>
      <c r="V96" s="249"/>
      <c r="W96" s="249"/>
    </row>
    <row r="97" spans="1:23" s="188" customFormat="1" ht="57">
      <c r="A97" s="504" t="s">
        <v>33</v>
      </c>
      <c r="B97" s="250">
        <v>43444</v>
      </c>
      <c r="C97" s="251" t="s">
        <v>1258</v>
      </c>
      <c r="D97" s="505" t="s">
        <v>192</v>
      </c>
      <c r="E97" s="506" t="s">
        <v>651</v>
      </c>
      <c r="F97" s="507" t="s">
        <v>652</v>
      </c>
      <c r="G97" s="210">
        <f t="shared" si="0"/>
        <v>959798.2</v>
      </c>
      <c r="H97" s="211">
        <v>959798.2</v>
      </c>
      <c r="I97" s="210">
        <f t="shared" si="1"/>
        <v>959798.2</v>
      </c>
      <c r="J97" s="211">
        <f>951660.13+8138.07</f>
        <v>959798.2</v>
      </c>
      <c r="K97" s="210">
        <f t="shared" si="2"/>
        <v>0</v>
      </c>
      <c r="L97" s="508">
        <f t="shared" si="3"/>
        <v>0</v>
      </c>
      <c r="M97" s="509" t="s">
        <v>57</v>
      </c>
      <c r="N97" s="578">
        <f t="shared" si="4"/>
        <v>1</v>
      </c>
      <c r="O97" s="578">
        <v>1</v>
      </c>
      <c r="P97" s="510" t="s">
        <v>37</v>
      </c>
      <c r="Q97" s="212">
        <v>1</v>
      </c>
      <c r="R97" s="511">
        <v>2500</v>
      </c>
      <c r="S97" s="512" t="s">
        <v>70</v>
      </c>
      <c r="T97" s="512" t="s">
        <v>854</v>
      </c>
      <c r="U97" s="513" t="s">
        <v>855</v>
      </c>
      <c r="V97" s="249"/>
      <c r="W97" s="249"/>
    </row>
    <row r="98" spans="1:23" s="188" customFormat="1" ht="57">
      <c r="A98" s="504" t="s">
        <v>33</v>
      </c>
      <c r="B98" s="250">
        <v>43444</v>
      </c>
      <c r="C98" s="251" t="s">
        <v>1259</v>
      </c>
      <c r="D98" s="505" t="s">
        <v>192</v>
      </c>
      <c r="E98" s="506" t="s">
        <v>653</v>
      </c>
      <c r="F98" s="507" t="s">
        <v>654</v>
      </c>
      <c r="G98" s="210">
        <f t="shared" si="0"/>
        <v>635493.46</v>
      </c>
      <c r="H98" s="211">
        <v>635493.46</v>
      </c>
      <c r="I98" s="210">
        <f t="shared" si="1"/>
        <v>635493.46</v>
      </c>
      <c r="J98" s="211">
        <f>628738.69+6754.77</f>
        <v>635493.46</v>
      </c>
      <c r="K98" s="210">
        <f t="shared" si="2"/>
        <v>0</v>
      </c>
      <c r="L98" s="508">
        <f t="shared" si="3"/>
        <v>0</v>
      </c>
      <c r="M98" s="509" t="s">
        <v>57</v>
      </c>
      <c r="N98" s="578">
        <f t="shared" si="4"/>
        <v>1</v>
      </c>
      <c r="O98" s="578">
        <v>1</v>
      </c>
      <c r="P98" s="510" t="s">
        <v>37</v>
      </c>
      <c r="Q98" s="212">
        <v>1</v>
      </c>
      <c r="R98" s="511">
        <v>2500</v>
      </c>
      <c r="S98" s="512" t="s">
        <v>70</v>
      </c>
      <c r="T98" s="512" t="s">
        <v>336</v>
      </c>
      <c r="U98" s="513" t="s">
        <v>856</v>
      </c>
      <c r="V98" s="249"/>
      <c r="W98" s="249"/>
    </row>
    <row r="99" spans="1:23" s="188" customFormat="1" ht="85.5">
      <c r="A99" s="504" t="s">
        <v>33</v>
      </c>
      <c r="B99" s="250">
        <v>43444</v>
      </c>
      <c r="C99" s="251" t="s">
        <v>1260</v>
      </c>
      <c r="D99" s="505" t="s">
        <v>192</v>
      </c>
      <c r="E99" s="506" t="s">
        <v>655</v>
      </c>
      <c r="F99" s="507" t="s">
        <v>656</v>
      </c>
      <c r="G99" s="210">
        <f t="shared" si="0"/>
        <v>677172.06</v>
      </c>
      <c r="H99" s="211">
        <v>677172.06</v>
      </c>
      <c r="I99" s="210">
        <f t="shared" si="1"/>
        <v>677172.06</v>
      </c>
      <c r="J99" s="211">
        <f>665247.67+11924.39</f>
        <v>677172.06</v>
      </c>
      <c r="K99" s="210">
        <f t="shared" si="2"/>
        <v>0</v>
      </c>
      <c r="L99" s="508">
        <f t="shared" si="3"/>
        <v>0</v>
      </c>
      <c r="M99" s="509" t="s">
        <v>57</v>
      </c>
      <c r="N99" s="578">
        <f t="shared" si="4"/>
        <v>1</v>
      </c>
      <c r="O99" s="578">
        <v>1</v>
      </c>
      <c r="P99" s="510" t="s">
        <v>37</v>
      </c>
      <c r="Q99" s="212">
        <v>1</v>
      </c>
      <c r="R99" s="511">
        <v>2500</v>
      </c>
      <c r="S99" s="512" t="s">
        <v>70</v>
      </c>
      <c r="T99" s="512" t="s">
        <v>857</v>
      </c>
      <c r="U99" s="513" t="s">
        <v>858</v>
      </c>
      <c r="V99" s="249"/>
      <c r="W99" s="249"/>
    </row>
    <row r="100" spans="1:23" s="188" customFormat="1" ht="57">
      <c r="A100" s="504" t="s">
        <v>33</v>
      </c>
      <c r="B100" s="250">
        <v>43291</v>
      </c>
      <c r="C100" s="251" t="s">
        <v>657</v>
      </c>
      <c r="D100" s="505" t="s">
        <v>192</v>
      </c>
      <c r="E100" s="506" t="s">
        <v>658</v>
      </c>
      <c r="F100" s="507" t="s">
        <v>659</v>
      </c>
      <c r="G100" s="210">
        <f t="shared" si="0"/>
        <v>560410.99</v>
      </c>
      <c r="H100" s="211">
        <f>I100</f>
        <v>560410.99</v>
      </c>
      <c r="I100" s="210">
        <f t="shared" si="1"/>
        <v>560410.99</v>
      </c>
      <c r="J100" s="211">
        <f>552844.7+7566.29</f>
        <v>560410.99</v>
      </c>
      <c r="K100" s="210">
        <f t="shared" si="2"/>
        <v>0</v>
      </c>
      <c r="L100" s="508">
        <f t="shared" si="3"/>
        <v>0</v>
      </c>
      <c r="M100" s="509" t="s">
        <v>57</v>
      </c>
      <c r="N100" s="578">
        <f t="shared" si="4"/>
        <v>1</v>
      </c>
      <c r="O100" s="578">
        <v>1</v>
      </c>
      <c r="P100" s="510" t="s">
        <v>37</v>
      </c>
      <c r="Q100" s="212">
        <v>1</v>
      </c>
      <c r="R100" s="511">
        <v>2500</v>
      </c>
      <c r="S100" s="512" t="s">
        <v>70</v>
      </c>
      <c r="T100" s="512" t="s">
        <v>639</v>
      </c>
      <c r="U100" s="513" t="s">
        <v>859</v>
      </c>
      <c r="V100" s="249"/>
      <c r="W100" s="249"/>
    </row>
    <row r="101" spans="1:23" s="188" customFormat="1" ht="57">
      <c r="A101" s="504" t="s">
        <v>33</v>
      </c>
      <c r="B101" s="250">
        <v>43291</v>
      </c>
      <c r="C101" s="251" t="s">
        <v>660</v>
      </c>
      <c r="D101" s="505" t="s">
        <v>192</v>
      </c>
      <c r="E101" s="506" t="s">
        <v>661</v>
      </c>
      <c r="F101" s="507" t="s">
        <v>662</v>
      </c>
      <c r="G101" s="210">
        <f t="shared" si="0"/>
        <v>696561.65999999992</v>
      </c>
      <c r="H101" s="211">
        <f>I101</f>
        <v>696561.65999999992</v>
      </c>
      <c r="I101" s="210">
        <f t="shared" si="1"/>
        <v>696561.65999999992</v>
      </c>
      <c r="J101" s="211">
        <f>667761.44+28800.22</f>
        <v>696561.65999999992</v>
      </c>
      <c r="K101" s="210">
        <f t="shared" si="2"/>
        <v>0</v>
      </c>
      <c r="L101" s="508">
        <f t="shared" si="3"/>
        <v>0</v>
      </c>
      <c r="M101" s="509" t="s">
        <v>57</v>
      </c>
      <c r="N101" s="578">
        <f t="shared" si="4"/>
        <v>1</v>
      </c>
      <c r="O101" s="578">
        <v>1</v>
      </c>
      <c r="P101" s="510" t="s">
        <v>37</v>
      </c>
      <c r="Q101" s="212">
        <v>1</v>
      </c>
      <c r="R101" s="511">
        <v>2500</v>
      </c>
      <c r="S101" s="512" t="s">
        <v>70</v>
      </c>
      <c r="T101" s="512" t="s">
        <v>639</v>
      </c>
      <c r="U101" s="513" t="s">
        <v>860</v>
      </c>
      <c r="V101" s="249"/>
      <c r="W101" s="249"/>
    </row>
    <row r="102" spans="1:23" s="188" customFormat="1" ht="57">
      <c r="A102" s="504" t="s">
        <v>33</v>
      </c>
      <c r="B102" s="250">
        <v>43291</v>
      </c>
      <c r="C102" s="251" t="s">
        <v>663</v>
      </c>
      <c r="D102" s="505" t="s">
        <v>192</v>
      </c>
      <c r="E102" s="506" t="s">
        <v>664</v>
      </c>
      <c r="F102" s="507" t="s">
        <v>665</v>
      </c>
      <c r="G102" s="210">
        <f t="shared" si="0"/>
        <v>729985.63</v>
      </c>
      <c r="H102" s="211">
        <f>I102</f>
        <v>729985.63</v>
      </c>
      <c r="I102" s="210">
        <f t="shared" si="1"/>
        <v>729985.63</v>
      </c>
      <c r="J102" s="211">
        <f>723781.88+6203.75</f>
        <v>729985.63</v>
      </c>
      <c r="K102" s="210">
        <f t="shared" si="2"/>
        <v>0</v>
      </c>
      <c r="L102" s="508">
        <f t="shared" si="3"/>
        <v>0</v>
      </c>
      <c r="M102" s="509" t="s">
        <v>57</v>
      </c>
      <c r="N102" s="578">
        <f t="shared" si="4"/>
        <v>1</v>
      </c>
      <c r="O102" s="578">
        <v>1</v>
      </c>
      <c r="P102" s="510" t="s">
        <v>37</v>
      </c>
      <c r="Q102" s="212">
        <v>1</v>
      </c>
      <c r="R102" s="511">
        <v>2500</v>
      </c>
      <c r="S102" s="512" t="s">
        <v>70</v>
      </c>
      <c r="T102" s="512" t="s">
        <v>639</v>
      </c>
      <c r="U102" s="513" t="s">
        <v>861</v>
      </c>
      <c r="V102" s="249"/>
      <c r="W102" s="249"/>
    </row>
    <row r="103" spans="1:23" s="188" customFormat="1" ht="42.75">
      <c r="A103" s="504" t="s">
        <v>33</v>
      </c>
      <c r="B103" s="250">
        <v>43291</v>
      </c>
      <c r="C103" s="251" t="s">
        <v>666</v>
      </c>
      <c r="D103" s="505" t="s">
        <v>192</v>
      </c>
      <c r="E103" s="506" t="s">
        <v>667</v>
      </c>
      <c r="F103" s="507" t="s">
        <v>668</v>
      </c>
      <c r="G103" s="210">
        <f t="shared" si="0"/>
        <v>1116969.8699999999</v>
      </c>
      <c r="H103" s="211">
        <f>I103</f>
        <v>1116969.8699999999</v>
      </c>
      <c r="I103" s="210">
        <f t="shared" si="1"/>
        <v>1116969.8699999999</v>
      </c>
      <c r="J103" s="211">
        <f>1091330.97+25638.9</f>
        <v>1116969.8699999999</v>
      </c>
      <c r="K103" s="210">
        <f t="shared" si="2"/>
        <v>0</v>
      </c>
      <c r="L103" s="508">
        <f t="shared" si="3"/>
        <v>0</v>
      </c>
      <c r="M103" s="509" t="s">
        <v>57</v>
      </c>
      <c r="N103" s="578">
        <f t="shared" si="4"/>
        <v>1</v>
      </c>
      <c r="O103" s="578">
        <v>1</v>
      </c>
      <c r="P103" s="510" t="s">
        <v>37</v>
      </c>
      <c r="Q103" s="212">
        <v>1</v>
      </c>
      <c r="R103" s="511">
        <v>2500</v>
      </c>
      <c r="S103" s="512" t="s">
        <v>70</v>
      </c>
      <c r="T103" s="512" t="s">
        <v>862</v>
      </c>
      <c r="U103" s="513" t="s">
        <v>863</v>
      </c>
      <c r="V103" s="249"/>
      <c r="W103" s="249"/>
    </row>
    <row r="104" spans="1:23" s="188" customFormat="1" ht="57">
      <c r="A104" s="504" t="s">
        <v>33</v>
      </c>
      <c r="B104" s="250">
        <v>43291</v>
      </c>
      <c r="C104" s="251" t="s">
        <v>669</v>
      </c>
      <c r="D104" s="505" t="s">
        <v>192</v>
      </c>
      <c r="E104" s="506" t="s">
        <v>670</v>
      </c>
      <c r="F104" s="507" t="s">
        <v>671</v>
      </c>
      <c r="G104" s="210">
        <f t="shared" si="0"/>
        <v>357939.55</v>
      </c>
      <c r="H104" s="211">
        <f>I104</f>
        <v>357939.55</v>
      </c>
      <c r="I104" s="210">
        <f t="shared" si="1"/>
        <v>357939.55</v>
      </c>
      <c r="J104" s="211">
        <f>282702.82+75236.73</f>
        <v>357939.55</v>
      </c>
      <c r="K104" s="210">
        <f t="shared" si="2"/>
        <v>0</v>
      </c>
      <c r="L104" s="508">
        <f t="shared" si="3"/>
        <v>0</v>
      </c>
      <c r="M104" s="509" t="s">
        <v>57</v>
      </c>
      <c r="N104" s="578">
        <f t="shared" si="4"/>
        <v>1</v>
      </c>
      <c r="O104" s="578">
        <v>1</v>
      </c>
      <c r="P104" s="510" t="s">
        <v>37</v>
      </c>
      <c r="Q104" s="212">
        <v>1</v>
      </c>
      <c r="R104" s="511">
        <v>2500</v>
      </c>
      <c r="S104" s="512" t="s">
        <v>70</v>
      </c>
      <c r="T104" s="512" t="s">
        <v>639</v>
      </c>
      <c r="U104" s="513" t="s">
        <v>864</v>
      </c>
      <c r="V104" s="249"/>
      <c r="W104" s="249"/>
    </row>
    <row r="105" spans="1:23" s="188" customFormat="1" ht="71.25">
      <c r="A105" s="504" t="s">
        <v>33</v>
      </c>
      <c r="B105" s="250">
        <v>43437</v>
      </c>
      <c r="C105" s="251" t="s">
        <v>1018</v>
      </c>
      <c r="D105" s="505" t="s">
        <v>197</v>
      </c>
      <c r="E105" s="506" t="s">
        <v>672</v>
      </c>
      <c r="F105" s="507" t="s">
        <v>673</v>
      </c>
      <c r="G105" s="210">
        <f t="shared" si="0"/>
        <v>977242.57</v>
      </c>
      <c r="H105" s="211">
        <v>977242.57</v>
      </c>
      <c r="I105" s="210">
        <f t="shared" si="1"/>
        <v>977242.57000000007</v>
      </c>
      <c r="J105" s="211">
        <f>293172.88+190742.19+489588.02+3739.48</f>
        <v>977242.57000000007</v>
      </c>
      <c r="K105" s="210">
        <f t="shared" si="2"/>
        <v>0</v>
      </c>
      <c r="L105" s="508">
        <f t="shared" si="3"/>
        <v>0</v>
      </c>
      <c r="M105" s="509" t="s">
        <v>57</v>
      </c>
      <c r="N105" s="578">
        <f t="shared" si="4"/>
        <v>1.0000000000000002</v>
      </c>
      <c r="O105" s="578">
        <v>1</v>
      </c>
      <c r="P105" s="510" t="s">
        <v>37</v>
      </c>
      <c r="Q105" s="212">
        <v>1</v>
      </c>
      <c r="R105" s="511">
        <v>2000</v>
      </c>
      <c r="S105" s="512" t="s">
        <v>70</v>
      </c>
      <c r="T105" s="512" t="s">
        <v>520</v>
      </c>
      <c r="U105" s="513" t="s">
        <v>865</v>
      </c>
      <c r="V105" s="249"/>
      <c r="W105" s="249"/>
    </row>
    <row r="106" spans="1:23" s="188" customFormat="1" ht="71.25">
      <c r="A106" s="504" t="s">
        <v>33</v>
      </c>
      <c r="B106" s="250">
        <v>43293</v>
      </c>
      <c r="C106" s="251" t="s">
        <v>674</v>
      </c>
      <c r="D106" s="505" t="s">
        <v>127</v>
      </c>
      <c r="E106" s="506" t="s">
        <v>675</v>
      </c>
      <c r="F106" s="507" t="s">
        <v>676</v>
      </c>
      <c r="G106" s="210">
        <f t="shared" si="0"/>
        <v>1229420.01</v>
      </c>
      <c r="H106" s="211">
        <f>I106</f>
        <v>1229420.01</v>
      </c>
      <c r="I106" s="210">
        <f t="shared" si="1"/>
        <v>1229420.01</v>
      </c>
      <c r="J106" s="211">
        <f>368826+860594.01</f>
        <v>1229420.01</v>
      </c>
      <c r="K106" s="210">
        <f t="shared" si="2"/>
        <v>0</v>
      </c>
      <c r="L106" s="508">
        <f t="shared" si="3"/>
        <v>0</v>
      </c>
      <c r="M106" s="509" t="s">
        <v>57</v>
      </c>
      <c r="N106" s="578">
        <f t="shared" si="4"/>
        <v>1</v>
      </c>
      <c r="O106" s="578">
        <v>1</v>
      </c>
      <c r="P106" s="510" t="s">
        <v>37</v>
      </c>
      <c r="Q106" s="212">
        <v>1</v>
      </c>
      <c r="R106" s="511">
        <v>2000</v>
      </c>
      <c r="S106" s="512" t="s">
        <v>76</v>
      </c>
      <c r="T106" s="512" t="s">
        <v>332</v>
      </c>
      <c r="U106" s="513" t="s">
        <v>812</v>
      </c>
      <c r="V106" s="249"/>
      <c r="W106" s="249"/>
    </row>
    <row r="107" spans="1:23" s="188" customFormat="1" ht="57">
      <c r="A107" s="504" t="s">
        <v>33</v>
      </c>
      <c r="B107" s="250">
        <v>43447</v>
      </c>
      <c r="C107" s="251" t="s">
        <v>1261</v>
      </c>
      <c r="D107" s="505" t="s">
        <v>127</v>
      </c>
      <c r="E107" s="506" t="s">
        <v>677</v>
      </c>
      <c r="F107" s="507" t="s">
        <v>678</v>
      </c>
      <c r="G107" s="210">
        <f t="shared" si="0"/>
        <v>1069508.6100000001</v>
      </c>
      <c r="H107" s="211">
        <v>1069508.6100000001</v>
      </c>
      <c r="I107" s="210">
        <f t="shared" si="1"/>
        <v>1069508.6100000001</v>
      </c>
      <c r="J107" s="211">
        <f>320852.58+347944.18+332008.32+68703.53</f>
        <v>1069508.6100000001</v>
      </c>
      <c r="K107" s="210">
        <f t="shared" si="2"/>
        <v>0</v>
      </c>
      <c r="L107" s="508">
        <f t="shared" si="3"/>
        <v>0</v>
      </c>
      <c r="M107" s="509" t="s">
        <v>57</v>
      </c>
      <c r="N107" s="578">
        <f t="shared" si="4"/>
        <v>1</v>
      </c>
      <c r="O107" s="578">
        <v>1</v>
      </c>
      <c r="P107" s="510" t="s">
        <v>63</v>
      </c>
      <c r="Q107" s="212">
        <v>1194.76</v>
      </c>
      <c r="R107" s="511">
        <v>1250</v>
      </c>
      <c r="S107" s="512" t="s">
        <v>70</v>
      </c>
      <c r="T107" s="512" t="s">
        <v>637</v>
      </c>
      <c r="U107" s="513" t="s">
        <v>866</v>
      </c>
      <c r="V107" s="249"/>
      <c r="W107" s="249"/>
    </row>
    <row r="108" spans="1:23" s="188" customFormat="1" ht="72.75">
      <c r="A108" s="504" t="s">
        <v>33</v>
      </c>
      <c r="B108" s="250">
        <v>43460</v>
      </c>
      <c r="C108" s="251" t="s">
        <v>1051</v>
      </c>
      <c r="D108" s="505" t="s">
        <v>127</v>
      </c>
      <c r="E108" s="506" t="s">
        <v>775</v>
      </c>
      <c r="F108" s="507" t="s">
        <v>1262</v>
      </c>
      <c r="G108" s="210">
        <f t="shared" si="0"/>
        <v>1570270.48</v>
      </c>
      <c r="H108" s="211">
        <v>1570270.48</v>
      </c>
      <c r="I108" s="210">
        <f t="shared" si="1"/>
        <v>0</v>
      </c>
      <c r="J108" s="211">
        <v>0</v>
      </c>
      <c r="K108" s="210">
        <f t="shared" si="2"/>
        <v>1570270.48</v>
      </c>
      <c r="L108" s="508">
        <f t="shared" si="3"/>
        <v>1570270.48</v>
      </c>
      <c r="M108" s="509" t="s">
        <v>57</v>
      </c>
      <c r="N108" s="578">
        <f t="shared" si="4"/>
        <v>0</v>
      </c>
      <c r="O108" s="578">
        <v>0</v>
      </c>
      <c r="P108" s="510" t="s">
        <v>37</v>
      </c>
      <c r="Q108" s="212">
        <v>1</v>
      </c>
      <c r="R108" s="511">
        <v>100000</v>
      </c>
      <c r="S108" s="512"/>
      <c r="T108" s="512" t="s">
        <v>38</v>
      </c>
      <c r="U108" s="513" t="s">
        <v>39</v>
      </c>
      <c r="V108" s="249"/>
      <c r="W108" s="249"/>
    </row>
    <row r="109" spans="1:23" s="188" customFormat="1" ht="71.25">
      <c r="A109" s="504" t="s">
        <v>33</v>
      </c>
      <c r="B109" s="250">
        <v>43453</v>
      </c>
      <c r="C109" s="251" t="s">
        <v>1263</v>
      </c>
      <c r="D109" s="505" t="s">
        <v>197</v>
      </c>
      <c r="E109" s="506" t="s">
        <v>776</v>
      </c>
      <c r="F109" s="507" t="s">
        <v>777</v>
      </c>
      <c r="G109" s="210">
        <f t="shared" si="0"/>
        <v>1119580.5</v>
      </c>
      <c r="H109" s="211">
        <v>1119580.5</v>
      </c>
      <c r="I109" s="210">
        <f t="shared" si="1"/>
        <v>1119580.49</v>
      </c>
      <c r="J109" s="211">
        <f>335874.15+783429.87+276.47</f>
        <v>1119580.49</v>
      </c>
      <c r="K109" s="210">
        <f t="shared" si="2"/>
        <v>1.0000000009313226E-2</v>
      </c>
      <c r="L109" s="508">
        <f t="shared" si="3"/>
        <v>1.0000000009313226E-2</v>
      </c>
      <c r="M109" s="509" t="s">
        <v>57</v>
      </c>
      <c r="N109" s="578">
        <f t="shared" si="4"/>
        <v>0.99999999106808313</v>
      </c>
      <c r="O109" s="578">
        <v>1</v>
      </c>
      <c r="P109" s="510" t="s">
        <v>37</v>
      </c>
      <c r="Q109" s="212">
        <v>1</v>
      </c>
      <c r="R109" s="511">
        <v>7500</v>
      </c>
      <c r="S109" s="512" t="s">
        <v>70</v>
      </c>
      <c r="T109" s="512" t="s">
        <v>813</v>
      </c>
      <c r="U109" s="513" t="s">
        <v>814</v>
      </c>
      <c r="V109" s="249"/>
      <c r="W109" s="249"/>
    </row>
    <row r="110" spans="1:23" s="188" customFormat="1" ht="99.75">
      <c r="A110" s="504" t="s">
        <v>33</v>
      </c>
      <c r="B110" s="250">
        <v>43447</v>
      </c>
      <c r="C110" s="251" t="s">
        <v>1264</v>
      </c>
      <c r="D110" s="505" t="s">
        <v>127</v>
      </c>
      <c r="E110" s="506" t="s">
        <v>778</v>
      </c>
      <c r="F110" s="507" t="s">
        <v>779</v>
      </c>
      <c r="G110" s="210">
        <f t="shared" si="0"/>
        <v>815180.74</v>
      </c>
      <c r="H110" s="211">
        <v>815180.74</v>
      </c>
      <c r="I110" s="210">
        <f t="shared" si="1"/>
        <v>815180.74</v>
      </c>
      <c r="J110" s="211">
        <f>354595.32+327716.96+132868.46</f>
        <v>815180.74</v>
      </c>
      <c r="K110" s="210">
        <f t="shared" si="2"/>
        <v>0</v>
      </c>
      <c r="L110" s="508">
        <f t="shared" si="3"/>
        <v>0</v>
      </c>
      <c r="M110" s="509" t="s">
        <v>57</v>
      </c>
      <c r="N110" s="578">
        <f t="shared" si="4"/>
        <v>1</v>
      </c>
      <c r="O110" s="578">
        <v>1</v>
      </c>
      <c r="P110" s="510" t="s">
        <v>63</v>
      </c>
      <c r="Q110" s="212">
        <v>2548.0300000000002</v>
      </c>
      <c r="R110" s="511">
        <v>1200</v>
      </c>
      <c r="S110" s="512" t="s">
        <v>70</v>
      </c>
      <c r="T110" s="512" t="s">
        <v>338</v>
      </c>
      <c r="U110" s="513" t="s">
        <v>815</v>
      </c>
      <c r="V110" s="249"/>
      <c r="W110" s="249"/>
    </row>
    <row r="111" spans="1:23" s="188" customFormat="1" ht="99.75">
      <c r="A111" s="504" t="s">
        <v>33</v>
      </c>
      <c r="B111" s="250">
        <v>43447</v>
      </c>
      <c r="C111" s="251" t="s">
        <v>1265</v>
      </c>
      <c r="D111" s="505" t="s">
        <v>127</v>
      </c>
      <c r="E111" s="506" t="s">
        <v>780</v>
      </c>
      <c r="F111" s="507" t="s">
        <v>781</v>
      </c>
      <c r="G111" s="210">
        <f t="shared" si="0"/>
        <v>970540.7</v>
      </c>
      <c r="H111" s="211">
        <v>970540.7</v>
      </c>
      <c r="I111" s="210">
        <f t="shared" si="1"/>
        <v>970540.7</v>
      </c>
      <c r="J111" s="211">
        <f>830233.14+140307.56</f>
        <v>970540.7</v>
      </c>
      <c r="K111" s="210">
        <f t="shared" si="2"/>
        <v>0</v>
      </c>
      <c r="L111" s="508">
        <f t="shared" si="3"/>
        <v>0</v>
      </c>
      <c r="M111" s="509" t="s">
        <v>57</v>
      </c>
      <c r="N111" s="578">
        <f t="shared" si="4"/>
        <v>1</v>
      </c>
      <c r="O111" s="578">
        <v>1</v>
      </c>
      <c r="P111" s="510" t="s">
        <v>63</v>
      </c>
      <c r="Q111" s="212">
        <v>3699.75</v>
      </c>
      <c r="R111" s="511">
        <v>800</v>
      </c>
      <c r="S111" s="512" t="s">
        <v>70</v>
      </c>
      <c r="T111" s="512" t="s">
        <v>338</v>
      </c>
      <c r="U111" s="513" t="s">
        <v>816</v>
      </c>
      <c r="V111" s="249"/>
      <c r="W111" s="249"/>
    </row>
    <row r="112" spans="1:23" s="188" customFormat="1" ht="42.75">
      <c r="A112" s="504" t="s">
        <v>156</v>
      </c>
      <c r="B112" s="250">
        <v>43322</v>
      </c>
      <c r="C112" s="251" t="s">
        <v>782</v>
      </c>
      <c r="D112" s="505" t="s">
        <v>137</v>
      </c>
      <c r="E112" s="506" t="s">
        <v>783</v>
      </c>
      <c r="F112" s="507" t="s">
        <v>784</v>
      </c>
      <c r="G112" s="210">
        <f t="shared" si="0"/>
        <v>279048.67000000004</v>
      </c>
      <c r="H112" s="211">
        <f>I112</f>
        <v>279048.67000000004</v>
      </c>
      <c r="I112" s="210">
        <f t="shared" si="1"/>
        <v>279048.67000000004</v>
      </c>
      <c r="J112" s="211">
        <f>139524.32+139524.35</f>
        <v>279048.67000000004</v>
      </c>
      <c r="K112" s="210">
        <f t="shared" si="2"/>
        <v>0</v>
      </c>
      <c r="L112" s="508">
        <f t="shared" si="3"/>
        <v>0</v>
      </c>
      <c r="M112" s="509" t="s">
        <v>57</v>
      </c>
      <c r="N112" s="578">
        <f t="shared" si="4"/>
        <v>1</v>
      </c>
      <c r="O112" s="578">
        <v>1</v>
      </c>
      <c r="P112" s="510" t="s">
        <v>37</v>
      </c>
      <c r="Q112" s="212">
        <v>1</v>
      </c>
      <c r="R112" s="511">
        <v>50000</v>
      </c>
      <c r="S112" s="512" t="s">
        <v>70</v>
      </c>
      <c r="T112" s="512" t="s">
        <v>867</v>
      </c>
      <c r="U112" s="513" t="s">
        <v>868</v>
      </c>
      <c r="V112" s="249"/>
      <c r="W112" s="249"/>
    </row>
    <row r="113" spans="1:23" s="188" customFormat="1" ht="57.75">
      <c r="A113" s="504" t="s">
        <v>33</v>
      </c>
      <c r="B113" s="250">
        <v>43336</v>
      </c>
      <c r="C113" s="251" t="s">
        <v>785</v>
      </c>
      <c r="D113" s="505" t="s">
        <v>137</v>
      </c>
      <c r="E113" s="506" t="s">
        <v>786</v>
      </c>
      <c r="F113" s="507" t="s">
        <v>1266</v>
      </c>
      <c r="G113" s="210">
        <f t="shared" si="0"/>
        <v>2000000</v>
      </c>
      <c r="H113" s="211">
        <v>2000000</v>
      </c>
      <c r="I113" s="210">
        <f t="shared" si="1"/>
        <v>1393619.08</v>
      </c>
      <c r="J113" s="211">
        <f>578939.03+814680.05</f>
        <v>1393619.08</v>
      </c>
      <c r="K113" s="210">
        <f t="shared" si="2"/>
        <v>606380.91999999993</v>
      </c>
      <c r="L113" s="508">
        <f t="shared" si="3"/>
        <v>606380.91999999993</v>
      </c>
      <c r="M113" s="509" t="s">
        <v>57</v>
      </c>
      <c r="N113" s="578">
        <f t="shared" si="4"/>
        <v>0.69680954000000006</v>
      </c>
      <c r="O113" s="578">
        <v>0.8</v>
      </c>
      <c r="P113" s="510" t="s">
        <v>37</v>
      </c>
      <c r="Q113" s="212">
        <v>1</v>
      </c>
      <c r="R113" s="511">
        <v>10000</v>
      </c>
      <c r="S113" s="512" t="s">
        <v>70</v>
      </c>
      <c r="T113" s="512" t="s">
        <v>119</v>
      </c>
      <c r="U113" s="513" t="s">
        <v>869</v>
      </c>
      <c r="V113" s="249"/>
      <c r="W113" s="249"/>
    </row>
    <row r="114" spans="1:23" s="188" customFormat="1" ht="85.5">
      <c r="A114" s="504" t="s">
        <v>156</v>
      </c>
      <c r="B114" s="250">
        <v>43340</v>
      </c>
      <c r="C114" s="251" t="s">
        <v>787</v>
      </c>
      <c r="D114" s="505" t="s">
        <v>192</v>
      </c>
      <c r="E114" s="506" t="s">
        <v>788</v>
      </c>
      <c r="F114" s="507" t="s">
        <v>789</v>
      </c>
      <c r="G114" s="210">
        <f t="shared" si="0"/>
        <v>474811.2</v>
      </c>
      <c r="H114" s="211">
        <v>474811.2</v>
      </c>
      <c r="I114" s="210">
        <f t="shared" si="1"/>
        <v>474811.2</v>
      </c>
      <c r="J114" s="211">
        <f>422054.4+52756.8</f>
        <v>474811.2</v>
      </c>
      <c r="K114" s="210">
        <f t="shared" si="2"/>
        <v>0</v>
      </c>
      <c r="L114" s="508">
        <f t="shared" si="3"/>
        <v>0</v>
      </c>
      <c r="M114" s="509" t="s">
        <v>57</v>
      </c>
      <c r="N114" s="578">
        <f t="shared" si="4"/>
        <v>1</v>
      </c>
      <c r="O114" s="578">
        <v>1</v>
      </c>
      <c r="P114" s="510" t="s">
        <v>790</v>
      </c>
      <c r="Q114" s="212">
        <v>90</v>
      </c>
      <c r="R114" s="511">
        <v>300000</v>
      </c>
      <c r="S114" s="512" t="s">
        <v>70</v>
      </c>
      <c r="T114" s="512" t="s">
        <v>870</v>
      </c>
      <c r="U114" s="513" t="s">
        <v>871</v>
      </c>
      <c r="V114" s="249"/>
      <c r="W114" s="249"/>
    </row>
    <row r="115" spans="1:23" s="188" customFormat="1" ht="114">
      <c r="A115" s="504" t="s">
        <v>33</v>
      </c>
      <c r="B115" s="250">
        <v>43347</v>
      </c>
      <c r="C115" s="251" t="s">
        <v>817</v>
      </c>
      <c r="D115" s="505" t="s">
        <v>197</v>
      </c>
      <c r="E115" s="506" t="s">
        <v>818</v>
      </c>
      <c r="F115" s="507" t="s">
        <v>819</v>
      </c>
      <c r="G115" s="210">
        <f t="shared" si="0"/>
        <v>919978.95</v>
      </c>
      <c r="H115" s="211">
        <f>I115</f>
        <v>919978.95</v>
      </c>
      <c r="I115" s="210">
        <f t="shared" si="1"/>
        <v>919978.95</v>
      </c>
      <c r="J115" s="211">
        <f>459989.49+459989.46</f>
        <v>919978.95</v>
      </c>
      <c r="K115" s="210">
        <f t="shared" si="2"/>
        <v>0</v>
      </c>
      <c r="L115" s="508">
        <f t="shared" si="3"/>
        <v>0</v>
      </c>
      <c r="M115" s="509" t="s">
        <v>57</v>
      </c>
      <c r="N115" s="578">
        <f t="shared" si="4"/>
        <v>1</v>
      </c>
      <c r="O115" s="578">
        <v>0.96</v>
      </c>
      <c r="P115" s="510" t="s">
        <v>37</v>
      </c>
      <c r="Q115" s="212">
        <v>1</v>
      </c>
      <c r="R115" s="511">
        <v>5000</v>
      </c>
      <c r="S115" s="512" t="s">
        <v>70</v>
      </c>
      <c r="T115" s="512" t="s">
        <v>872</v>
      </c>
      <c r="U115" s="513" t="s">
        <v>873</v>
      </c>
      <c r="V115" s="249"/>
      <c r="W115" s="249"/>
    </row>
    <row r="116" spans="1:23" s="188" customFormat="1" ht="57">
      <c r="A116" s="504" t="s">
        <v>33</v>
      </c>
      <c r="B116" s="250">
        <v>43227</v>
      </c>
      <c r="C116" s="251" t="s">
        <v>58</v>
      </c>
      <c r="D116" s="505" t="s">
        <v>192</v>
      </c>
      <c r="E116" s="506" t="s">
        <v>59</v>
      </c>
      <c r="F116" s="514" t="s">
        <v>60</v>
      </c>
      <c r="G116" s="210">
        <f t="shared" si="0"/>
        <v>226566.98</v>
      </c>
      <c r="H116" s="211">
        <v>226566.98</v>
      </c>
      <c r="I116" s="210">
        <f t="shared" si="1"/>
        <v>226566.98</v>
      </c>
      <c r="J116" s="211">
        <f>226566.98</f>
        <v>226566.98</v>
      </c>
      <c r="K116" s="210">
        <f t="shared" si="2"/>
        <v>0</v>
      </c>
      <c r="L116" s="508">
        <f t="shared" si="3"/>
        <v>0</v>
      </c>
      <c r="M116" s="509" t="s">
        <v>57</v>
      </c>
      <c r="N116" s="578">
        <f t="shared" si="4"/>
        <v>1</v>
      </c>
      <c r="O116" s="578">
        <v>1</v>
      </c>
      <c r="P116" s="510" t="s">
        <v>37</v>
      </c>
      <c r="Q116" s="212">
        <v>1</v>
      </c>
      <c r="R116" s="511">
        <v>555000</v>
      </c>
      <c r="S116" s="512" t="s">
        <v>70</v>
      </c>
      <c r="T116" s="512" t="s">
        <v>193</v>
      </c>
      <c r="U116" s="513" t="s">
        <v>194</v>
      </c>
      <c r="V116" s="249"/>
      <c r="W116" s="249"/>
    </row>
    <row r="117" spans="1:23" s="188" customFormat="1" ht="42.75">
      <c r="A117" s="504" t="s">
        <v>33</v>
      </c>
      <c r="B117" s="250">
        <v>43347</v>
      </c>
      <c r="C117" s="251" t="s">
        <v>820</v>
      </c>
      <c r="D117" s="505" t="s">
        <v>197</v>
      </c>
      <c r="E117" s="506" t="s">
        <v>821</v>
      </c>
      <c r="F117" s="507" t="s">
        <v>822</v>
      </c>
      <c r="G117" s="210">
        <f t="shared" si="0"/>
        <v>1019989.82</v>
      </c>
      <c r="H117" s="211">
        <f>I117</f>
        <v>1019989.82</v>
      </c>
      <c r="I117" s="210">
        <f t="shared" si="1"/>
        <v>1019989.82</v>
      </c>
      <c r="J117" s="211">
        <f>509994.91+509994.91</f>
        <v>1019989.82</v>
      </c>
      <c r="K117" s="210">
        <f t="shared" si="2"/>
        <v>0</v>
      </c>
      <c r="L117" s="508">
        <f t="shared" si="3"/>
        <v>0</v>
      </c>
      <c r="M117" s="509" t="s">
        <v>57</v>
      </c>
      <c r="N117" s="578">
        <f t="shared" si="4"/>
        <v>1</v>
      </c>
      <c r="O117" s="578">
        <v>1</v>
      </c>
      <c r="P117" s="510" t="s">
        <v>37</v>
      </c>
      <c r="Q117" s="212">
        <v>1</v>
      </c>
      <c r="R117" s="511">
        <v>6000</v>
      </c>
      <c r="S117" s="512" t="s">
        <v>70</v>
      </c>
      <c r="T117" s="512" t="s">
        <v>203</v>
      </c>
      <c r="U117" s="513" t="s">
        <v>874</v>
      </c>
      <c r="V117" s="249"/>
      <c r="W117" s="249"/>
    </row>
    <row r="118" spans="1:23" s="188" customFormat="1" ht="57">
      <c r="A118" s="504" t="s">
        <v>33</v>
      </c>
      <c r="B118" s="250">
        <v>43444</v>
      </c>
      <c r="C118" s="251" t="s">
        <v>1267</v>
      </c>
      <c r="D118" s="505" t="s">
        <v>137</v>
      </c>
      <c r="E118" s="506" t="s">
        <v>823</v>
      </c>
      <c r="F118" s="507" t="s">
        <v>824</v>
      </c>
      <c r="G118" s="210">
        <f t="shared" si="0"/>
        <v>81622.759999999995</v>
      </c>
      <c r="H118" s="211">
        <v>81622.759999999995</v>
      </c>
      <c r="I118" s="210">
        <f t="shared" si="1"/>
        <v>81622.760000000009</v>
      </c>
      <c r="J118" s="211">
        <f>58669.23+22953.53</f>
        <v>81622.760000000009</v>
      </c>
      <c r="K118" s="210">
        <f t="shared" si="2"/>
        <v>0</v>
      </c>
      <c r="L118" s="508">
        <f t="shared" si="3"/>
        <v>0</v>
      </c>
      <c r="M118" s="509" t="s">
        <v>57</v>
      </c>
      <c r="N118" s="578">
        <f t="shared" si="4"/>
        <v>1.0000000000000002</v>
      </c>
      <c r="O118" s="578">
        <v>1</v>
      </c>
      <c r="P118" s="510" t="s">
        <v>37</v>
      </c>
      <c r="Q118" s="212">
        <v>1</v>
      </c>
      <c r="R118" s="511">
        <v>250</v>
      </c>
      <c r="S118" s="512" t="s">
        <v>70</v>
      </c>
      <c r="T118" s="512" t="s">
        <v>809</v>
      </c>
      <c r="U118" s="513" t="s">
        <v>1019</v>
      </c>
      <c r="V118" s="249"/>
      <c r="W118" s="249"/>
    </row>
    <row r="119" spans="1:23" s="188" customFormat="1" ht="99.75">
      <c r="A119" s="504" t="s">
        <v>33</v>
      </c>
      <c r="B119" s="250">
        <v>43447</v>
      </c>
      <c r="C119" s="251" t="s">
        <v>1268</v>
      </c>
      <c r="D119" s="505" t="s">
        <v>137</v>
      </c>
      <c r="E119" s="506" t="s">
        <v>825</v>
      </c>
      <c r="F119" s="507" t="s">
        <v>826</v>
      </c>
      <c r="G119" s="210">
        <f t="shared" si="0"/>
        <v>152484.54999999999</v>
      </c>
      <c r="H119" s="211">
        <v>152484.54999999999</v>
      </c>
      <c r="I119" s="210">
        <f t="shared" si="1"/>
        <v>152484.54999999999</v>
      </c>
      <c r="J119" s="211">
        <f>152484.55</f>
        <v>152484.54999999999</v>
      </c>
      <c r="K119" s="210">
        <f t="shared" si="2"/>
        <v>0</v>
      </c>
      <c r="L119" s="508">
        <f t="shared" si="3"/>
        <v>0</v>
      </c>
      <c r="M119" s="509" t="s">
        <v>57</v>
      </c>
      <c r="N119" s="578">
        <f t="shared" si="4"/>
        <v>1</v>
      </c>
      <c r="O119" s="578">
        <v>1</v>
      </c>
      <c r="P119" s="510" t="s">
        <v>37</v>
      </c>
      <c r="Q119" s="212">
        <v>1</v>
      </c>
      <c r="R119" s="511">
        <v>2000</v>
      </c>
      <c r="S119" s="512" t="s">
        <v>70</v>
      </c>
      <c r="T119" s="512" t="s">
        <v>1020</v>
      </c>
      <c r="U119" s="513" t="s">
        <v>1021</v>
      </c>
      <c r="V119" s="249"/>
      <c r="W119" s="249"/>
    </row>
    <row r="120" spans="1:23" s="188" customFormat="1" ht="71.25">
      <c r="A120" s="504" t="s">
        <v>33</v>
      </c>
      <c r="B120" s="250">
        <v>43349</v>
      </c>
      <c r="C120" s="251" t="s">
        <v>827</v>
      </c>
      <c r="D120" s="505" t="s">
        <v>197</v>
      </c>
      <c r="E120" s="506" t="s">
        <v>828</v>
      </c>
      <c r="F120" s="507" t="s">
        <v>1269</v>
      </c>
      <c r="G120" s="210">
        <f t="shared" si="0"/>
        <v>2500000</v>
      </c>
      <c r="H120" s="211">
        <v>2500000</v>
      </c>
      <c r="I120" s="210">
        <f t="shared" si="1"/>
        <v>1979772.02</v>
      </c>
      <c r="J120" s="211">
        <f>1160183.44+89834.27+729754.31</f>
        <v>1979772.02</v>
      </c>
      <c r="K120" s="210">
        <f t="shared" si="2"/>
        <v>520227.98</v>
      </c>
      <c r="L120" s="508">
        <f t="shared" si="3"/>
        <v>520227.98</v>
      </c>
      <c r="M120" s="509" t="s">
        <v>57</v>
      </c>
      <c r="N120" s="578">
        <f t="shared" si="4"/>
        <v>0.79190880799999996</v>
      </c>
      <c r="O120" s="578">
        <v>0.85</v>
      </c>
      <c r="P120" s="510" t="s">
        <v>37</v>
      </c>
      <c r="Q120" s="212">
        <v>1</v>
      </c>
      <c r="R120" s="511">
        <v>5000</v>
      </c>
      <c r="S120" s="512" t="s">
        <v>76</v>
      </c>
      <c r="T120" s="512" t="s">
        <v>195</v>
      </c>
      <c r="U120" s="513" t="s">
        <v>875</v>
      </c>
      <c r="V120" s="249"/>
      <c r="W120" s="249"/>
    </row>
    <row r="121" spans="1:23" s="188" customFormat="1" ht="42.75">
      <c r="A121" s="504" t="s">
        <v>33</v>
      </c>
      <c r="B121" s="250">
        <v>43447</v>
      </c>
      <c r="C121" s="251" t="s">
        <v>1270</v>
      </c>
      <c r="D121" s="505" t="s">
        <v>149</v>
      </c>
      <c r="E121" s="506" t="s">
        <v>876</v>
      </c>
      <c r="F121" s="507" t="s">
        <v>877</v>
      </c>
      <c r="G121" s="210">
        <f t="shared" si="0"/>
        <v>200954.7</v>
      </c>
      <c r="H121" s="211">
        <v>200954.7</v>
      </c>
      <c r="I121" s="210">
        <f t="shared" si="1"/>
        <v>200954.59</v>
      </c>
      <c r="J121" s="211">
        <f>200954.59</f>
        <v>200954.59</v>
      </c>
      <c r="K121" s="210">
        <f t="shared" si="2"/>
        <v>0.11000000001513399</v>
      </c>
      <c r="L121" s="508">
        <f t="shared" si="3"/>
        <v>0.11000000001513399</v>
      </c>
      <c r="M121" s="509" t="s">
        <v>57</v>
      </c>
      <c r="N121" s="578">
        <f t="shared" si="4"/>
        <v>0.99999945261295198</v>
      </c>
      <c r="O121" s="578">
        <v>1</v>
      </c>
      <c r="P121" s="510" t="s">
        <v>37</v>
      </c>
      <c r="Q121" s="212">
        <v>1</v>
      </c>
      <c r="R121" s="511">
        <v>200</v>
      </c>
      <c r="S121" s="512" t="s">
        <v>70</v>
      </c>
      <c r="T121" s="512" t="s">
        <v>203</v>
      </c>
      <c r="U121" s="513" t="s">
        <v>1052</v>
      </c>
      <c r="V121" s="249"/>
      <c r="W121" s="249"/>
    </row>
    <row r="122" spans="1:23" s="188" customFormat="1" ht="85.5">
      <c r="A122" s="504" t="s">
        <v>33</v>
      </c>
      <c r="B122" s="250">
        <v>43399</v>
      </c>
      <c r="C122" s="251" t="s">
        <v>878</v>
      </c>
      <c r="D122" s="505" t="s">
        <v>137</v>
      </c>
      <c r="E122" s="506" t="s">
        <v>879</v>
      </c>
      <c r="F122" s="507" t="s">
        <v>880</v>
      </c>
      <c r="G122" s="210">
        <f t="shared" si="0"/>
        <v>699548</v>
      </c>
      <c r="H122" s="211">
        <f t="shared" ref="H122:H128" si="6">I122</f>
        <v>699548</v>
      </c>
      <c r="I122" s="210">
        <f t="shared" si="1"/>
        <v>699548</v>
      </c>
      <c r="J122" s="211">
        <f>699548</f>
        <v>699548</v>
      </c>
      <c r="K122" s="210">
        <f t="shared" si="2"/>
        <v>0</v>
      </c>
      <c r="L122" s="508">
        <f t="shared" si="3"/>
        <v>0</v>
      </c>
      <c r="M122" s="509" t="s">
        <v>57</v>
      </c>
      <c r="N122" s="578">
        <f t="shared" si="4"/>
        <v>1</v>
      </c>
      <c r="O122" s="578">
        <v>1</v>
      </c>
      <c r="P122" s="510" t="s">
        <v>37</v>
      </c>
      <c r="Q122" s="212">
        <v>1</v>
      </c>
      <c r="R122" s="511">
        <v>5000</v>
      </c>
      <c r="S122" s="512" t="s">
        <v>70</v>
      </c>
      <c r="T122" s="512" t="s">
        <v>201</v>
      </c>
      <c r="U122" s="513" t="s">
        <v>1053</v>
      </c>
      <c r="V122" s="249"/>
      <c r="W122" s="249"/>
    </row>
    <row r="123" spans="1:23" s="188" customFormat="1" ht="114">
      <c r="A123" s="504" t="s">
        <v>33</v>
      </c>
      <c r="B123" s="250">
        <v>43399</v>
      </c>
      <c r="C123" s="251" t="s">
        <v>881</v>
      </c>
      <c r="D123" s="505" t="s">
        <v>137</v>
      </c>
      <c r="E123" s="506" t="s">
        <v>882</v>
      </c>
      <c r="F123" s="507" t="s">
        <v>883</v>
      </c>
      <c r="G123" s="210">
        <f t="shared" si="0"/>
        <v>748957.54</v>
      </c>
      <c r="H123" s="211">
        <f t="shared" si="6"/>
        <v>748957.54</v>
      </c>
      <c r="I123" s="210">
        <f t="shared" si="1"/>
        <v>748957.54</v>
      </c>
      <c r="J123" s="211">
        <f>748957.54</f>
        <v>748957.54</v>
      </c>
      <c r="K123" s="210">
        <f t="shared" si="2"/>
        <v>0</v>
      </c>
      <c r="L123" s="508">
        <f t="shared" si="3"/>
        <v>0</v>
      </c>
      <c r="M123" s="509" t="s">
        <v>57</v>
      </c>
      <c r="N123" s="578">
        <f t="shared" si="4"/>
        <v>1</v>
      </c>
      <c r="O123" s="578">
        <v>1</v>
      </c>
      <c r="P123" s="510" t="s">
        <v>37</v>
      </c>
      <c r="Q123" s="212">
        <v>1</v>
      </c>
      <c r="R123" s="511">
        <v>2000</v>
      </c>
      <c r="S123" s="512" t="s">
        <v>70</v>
      </c>
      <c r="T123" s="512" t="s">
        <v>274</v>
      </c>
      <c r="U123" s="513" t="s">
        <v>1054</v>
      </c>
      <c r="V123" s="249"/>
      <c r="W123" s="249"/>
    </row>
    <row r="124" spans="1:23" s="188" customFormat="1" ht="57">
      <c r="A124" s="504" t="s">
        <v>33</v>
      </c>
      <c r="B124" s="250">
        <v>43399</v>
      </c>
      <c r="C124" s="251" t="s">
        <v>884</v>
      </c>
      <c r="D124" s="505" t="s">
        <v>137</v>
      </c>
      <c r="E124" s="506" t="s">
        <v>885</v>
      </c>
      <c r="F124" s="507" t="s">
        <v>886</v>
      </c>
      <c r="G124" s="210">
        <f t="shared" si="0"/>
        <v>497430.13</v>
      </c>
      <c r="H124" s="211">
        <f t="shared" si="6"/>
        <v>497430.13</v>
      </c>
      <c r="I124" s="210">
        <f t="shared" si="1"/>
        <v>497430.13</v>
      </c>
      <c r="J124" s="211">
        <f>472787.96+24642.17</f>
        <v>497430.13</v>
      </c>
      <c r="K124" s="210">
        <f t="shared" si="2"/>
        <v>0</v>
      </c>
      <c r="L124" s="508">
        <f t="shared" si="3"/>
        <v>0</v>
      </c>
      <c r="M124" s="509" t="s">
        <v>57</v>
      </c>
      <c r="N124" s="578">
        <f t="shared" si="4"/>
        <v>1</v>
      </c>
      <c r="O124" s="578">
        <v>1</v>
      </c>
      <c r="P124" s="510" t="s">
        <v>37</v>
      </c>
      <c r="Q124" s="212">
        <v>1</v>
      </c>
      <c r="R124" s="511">
        <v>1000</v>
      </c>
      <c r="S124" s="512" t="s">
        <v>70</v>
      </c>
      <c r="T124" s="512" t="s">
        <v>525</v>
      </c>
      <c r="U124" s="513" t="s">
        <v>1022</v>
      </c>
      <c r="V124" s="249"/>
      <c r="W124" s="249"/>
    </row>
    <row r="125" spans="1:23" s="188" customFormat="1" ht="71.25">
      <c r="A125" s="504" t="s">
        <v>33</v>
      </c>
      <c r="B125" s="250">
        <v>43399</v>
      </c>
      <c r="C125" s="251" t="s">
        <v>887</v>
      </c>
      <c r="D125" s="505" t="s">
        <v>137</v>
      </c>
      <c r="E125" s="506" t="s">
        <v>888</v>
      </c>
      <c r="F125" s="507" t="s">
        <v>889</v>
      </c>
      <c r="G125" s="210">
        <f t="shared" si="0"/>
        <v>502629.52</v>
      </c>
      <c r="H125" s="211">
        <f t="shared" si="6"/>
        <v>502629.52</v>
      </c>
      <c r="I125" s="210">
        <f t="shared" si="1"/>
        <v>502629.52</v>
      </c>
      <c r="J125" s="211">
        <f>463115.58+39513.94</f>
        <v>502629.52</v>
      </c>
      <c r="K125" s="210">
        <f t="shared" si="2"/>
        <v>0</v>
      </c>
      <c r="L125" s="508">
        <f t="shared" si="3"/>
        <v>0</v>
      </c>
      <c r="M125" s="509" t="s">
        <v>57</v>
      </c>
      <c r="N125" s="578">
        <f t="shared" si="4"/>
        <v>1</v>
      </c>
      <c r="O125" s="578">
        <v>1</v>
      </c>
      <c r="P125" s="510" t="s">
        <v>37</v>
      </c>
      <c r="Q125" s="212">
        <v>1</v>
      </c>
      <c r="R125" s="511">
        <v>1000</v>
      </c>
      <c r="S125" s="512" t="s">
        <v>70</v>
      </c>
      <c r="T125" s="512" t="s">
        <v>1023</v>
      </c>
      <c r="U125" s="513" t="s">
        <v>1024</v>
      </c>
      <c r="V125" s="249"/>
      <c r="W125" s="249"/>
    </row>
    <row r="126" spans="1:23" s="188" customFormat="1" ht="57">
      <c r="A126" s="504" t="s">
        <v>33</v>
      </c>
      <c r="B126" s="250">
        <v>43410</v>
      </c>
      <c r="C126" s="251" t="s">
        <v>1025</v>
      </c>
      <c r="D126" s="505" t="s">
        <v>127</v>
      </c>
      <c r="E126" s="506" t="s">
        <v>1026</v>
      </c>
      <c r="F126" s="507" t="s">
        <v>1027</v>
      </c>
      <c r="G126" s="210">
        <f t="shared" si="0"/>
        <v>1061762.8</v>
      </c>
      <c r="H126" s="211">
        <f t="shared" si="6"/>
        <v>1061762.8</v>
      </c>
      <c r="I126" s="210">
        <f t="shared" si="1"/>
        <v>1061762.8</v>
      </c>
      <c r="J126" s="211">
        <f>1061762.8</f>
        <v>1061762.8</v>
      </c>
      <c r="K126" s="210">
        <f t="shared" si="2"/>
        <v>0</v>
      </c>
      <c r="L126" s="508">
        <f t="shared" si="3"/>
        <v>0</v>
      </c>
      <c r="M126" s="509" t="s">
        <v>57</v>
      </c>
      <c r="N126" s="578">
        <f t="shared" si="4"/>
        <v>1</v>
      </c>
      <c r="O126" s="578">
        <v>0.85</v>
      </c>
      <c r="P126" s="510" t="s">
        <v>63</v>
      </c>
      <c r="Q126" s="212">
        <v>1245</v>
      </c>
      <c r="R126" s="511">
        <v>1500</v>
      </c>
      <c r="S126" s="512" t="s">
        <v>70</v>
      </c>
      <c r="T126" s="512" t="s">
        <v>119</v>
      </c>
      <c r="U126" s="513" t="s">
        <v>1055</v>
      </c>
      <c r="V126" s="249"/>
      <c r="W126" s="249"/>
    </row>
    <row r="127" spans="1:23" s="188" customFormat="1" ht="28.5">
      <c r="A127" s="504" t="s">
        <v>156</v>
      </c>
      <c r="B127" s="250">
        <v>43399</v>
      </c>
      <c r="C127" s="251" t="s">
        <v>890</v>
      </c>
      <c r="D127" s="505" t="s">
        <v>137</v>
      </c>
      <c r="E127" s="506" t="s">
        <v>891</v>
      </c>
      <c r="F127" s="507" t="s">
        <v>892</v>
      </c>
      <c r="G127" s="210">
        <f t="shared" si="0"/>
        <v>274792.09000000003</v>
      </c>
      <c r="H127" s="211">
        <f t="shared" si="6"/>
        <v>274792.09000000003</v>
      </c>
      <c r="I127" s="210">
        <f t="shared" si="1"/>
        <v>274792.09000000003</v>
      </c>
      <c r="J127" s="211">
        <f>274792.09</f>
        <v>274792.09000000003</v>
      </c>
      <c r="K127" s="210">
        <f t="shared" si="2"/>
        <v>0</v>
      </c>
      <c r="L127" s="508">
        <f t="shared" si="3"/>
        <v>0</v>
      </c>
      <c r="M127" s="509" t="s">
        <v>57</v>
      </c>
      <c r="N127" s="578">
        <f t="shared" si="4"/>
        <v>1</v>
      </c>
      <c r="O127" s="578">
        <v>1</v>
      </c>
      <c r="P127" s="510" t="s">
        <v>37</v>
      </c>
      <c r="Q127" s="212">
        <v>1</v>
      </c>
      <c r="R127" s="511">
        <v>45000</v>
      </c>
      <c r="S127" s="512" t="s">
        <v>70</v>
      </c>
      <c r="T127" s="512" t="s">
        <v>1056</v>
      </c>
      <c r="U127" s="513" t="s">
        <v>1057</v>
      </c>
      <c r="V127" s="249"/>
      <c r="W127" s="249"/>
    </row>
    <row r="128" spans="1:23" s="188" customFormat="1" ht="57">
      <c r="A128" s="504" t="s">
        <v>33</v>
      </c>
      <c r="B128" s="250">
        <v>43413</v>
      </c>
      <c r="C128" s="251" t="s">
        <v>1028</v>
      </c>
      <c r="D128" s="505" t="s">
        <v>127</v>
      </c>
      <c r="E128" s="506" t="s">
        <v>1029</v>
      </c>
      <c r="F128" s="507" t="s">
        <v>1030</v>
      </c>
      <c r="G128" s="210">
        <f t="shared" si="0"/>
        <v>147203.43</v>
      </c>
      <c r="H128" s="211">
        <f t="shared" si="6"/>
        <v>147203.43</v>
      </c>
      <c r="I128" s="210">
        <f t="shared" si="1"/>
        <v>147203.43</v>
      </c>
      <c r="J128" s="211">
        <f>147203.43</f>
        <v>147203.43</v>
      </c>
      <c r="K128" s="210">
        <f t="shared" si="2"/>
        <v>0</v>
      </c>
      <c r="L128" s="508">
        <f t="shared" si="3"/>
        <v>0</v>
      </c>
      <c r="M128" s="509" t="s">
        <v>57</v>
      </c>
      <c r="N128" s="578">
        <f t="shared" si="4"/>
        <v>1</v>
      </c>
      <c r="O128" s="578">
        <v>1</v>
      </c>
      <c r="P128" s="510" t="s">
        <v>37</v>
      </c>
      <c r="Q128" s="212">
        <v>1</v>
      </c>
      <c r="R128" s="511">
        <v>50</v>
      </c>
      <c r="S128" s="512" t="s">
        <v>70</v>
      </c>
      <c r="T128" s="512" t="s">
        <v>1058</v>
      </c>
      <c r="U128" s="513" t="s">
        <v>1059</v>
      </c>
      <c r="V128" s="249"/>
      <c r="W128" s="249"/>
    </row>
    <row r="129" spans="1:23" s="188" customFormat="1" ht="57">
      <c r="A129" s="504" t="s">
        <v>33</v>
      </c>
      <c r="B129" s="250">
        <v>43417</v>
      </c>
      <c r="C129" s="251" t="s">
        <v>1271</v>
      </c>
      <c r="D129" s="505" t="s">
        <v>127</v>
      </c>
      <c r="E129" s="506" t="s">
        <v>61</v>
      </c>
      <c r="F129" s="514" t="s">
        <v>62</v>
      </c>
      <c r="G129" s="210">
        <f t="shared" si="0"/>
        <v>5912418.6200000001</v>
      </c>
      <c r="H129" s="211">
        <v>5912418.6200000001</v>
      </c>
      <c r="I129" s="210">
        <f t="shared" si="1"/>
        <v>5912418.6100000013</v>
      </c>
      <c r="J129" s="211">
        <f>1773725.58+62987.44+146361.12+1109069.59+620905.42+485615.7+746293.57+502916.49+464543.7</f>
        <v>5912418.6100000013</v>
      </c>
      <c r="K129" s="210">
        <f t="shared" si="2"/>
        <v>9.9999988451600075E-3</v>
      </c>
      <c r="L129" s="508">
        <f t="shared" si="3"/>
        <v>9.9999988451600075E-3</v>
      </c>
      <c r="M129" s="509" t="s">
        <v>57</v>
      </c>
      <c r="N129" s="578">
        <f t="shared" si="4"/>
        <v>0.99999999830864494</v>
      </c>
      <c r="O129" s="578">
        <v>1</v>
      </c>
      <c r="P129" s="510" t="s">
        <v>63</v>
      </c>
      <c r="Q129" s="212">
        <v>658.14</v>
      </c>
      <c r="R129" s="511">
        <v>1000</v>
      </c>
      <c r="S129" s="512" t="s">
        <v>64</v>
      </c>
      <c r="T129" s="512" t="s">
        <v>65</v>
      </c>
      <c r="U129" s="513" t="s">
        <v>66</v>
      </c>
      <c r="V129" s="249"/>
      <c r="W129" s="249"/>
    </row>
    <row r="130" spans="1:23" s="188" customFormat="1" ht="57">
      <c r="A130" s="504" t="s">
        <v>33</v>
      </c>
      <c r="B130" s="250">
        <v>43117</v>
      </c>
      <c r="C130" s="251" t="s">
        <v>67</v>
      </c>
      <c r="D130" s="505" t="s">
        <v>137</v>
      </c>
      <c r="E130" s="506" t="s">
        <v>68</v>
      </c>
      <c r="F130" s="514" t="s">
        <v>69</v>
      </c>
      <c r="G130" s="210">
        <f t="shared" si="0"/>
        <v>659814.38</v>
      </c>
      <c r="H130" s="211">
        <f>I130</f>
        <v>659814.38</v>
      </c>
      <c r="I130" s="210">
        <f t="shared" si="1"/>
        <v>659814.38</v>
      </c>
      <c r="J130" s="211">
        <f>197944.31+210430.47+76593.12+174846.48</f>
        <v>659814.38</v>
      </c>
      <c r="K130" s="210">
        <f t="shared" si="2"/>
        <v>0</v>
      </c>
      <c r="L130" s="508">
        <f t="shared" si="3"/>
        <v>0</v>
      </c>
      <c r="M130" s="509" t="s">
        <v>57</v>
      </c>
      <c r="N130" s="578">
        <f t="shared" si="4"/>
        <v>1</v>
      </c>
      <c r="O130" s="578">
        <v>0.97</v>
      </c>
      <c r="P130" s="510" t="s">
        <v>37</v>
      </c>
      <c r="Q130" s="212">
        <v>1</v>
      </c>
      <c r="R130" s="511">
        <v>100</v>
      </c>
      <c r="S130" s="512" t="s">
        <v>70</v>
      </c>
      <c r="T130" s="512" t="s">
        <v>71</v>
      </c>
      <c r="U130" s="513" t="s">
        <v>72</v>
      </c>
      <c r="V130" s="249"/>
      <c r="W130" s="249"/>
    </row>
    <row r="131" spans="1:23" s="188" customFormat="1" ht="71.25">
      <c r="A131" s="504" t="s">
        <v>33</v>
      </c>
      <c r="B131" s="250">
        <v>43117</v>
      </c>
      <c r="C131" s="251" t="s">
        <v>73</v>
      </c>
      <c r="D131" s="505" t="s">
        <v>137</v>
      </c>
      <c r="E131" s="506" t="s">
        <v>74</v>
      </c>
      <c r="F131" s="514" t="s">
        <v>75</v>
      </c>
      <c r="G131" s="210">
        <f t="shared" si="0"/>
        <v>2300000</v>
      </c>
      <c r="H131" s="211">
        <v>2300000</v>
      </c>
      <c r="I131" s="210">
        <f t="shared" si="1"/>
        <v>2300000</v>
      </c>
      <c r="J131" s="211">
        <f>614967.14+66455.09+153974.78+176907.45+907500.03+81420.86+298774.65</f>
        <v>2300000</v>
      </c>
      <c r="K131" s="210">
        <f t="shared" si="2"/>
        <v>0</v>
      </c>
      <c r="L131" s="508">
        <f t="shared" si="3"/>
        <v>0</v>
      </c>
      <c r="M131" s="509" t="s">
        <v>57</v>
      </c>
      <c r="N131" s="578">
        <f t="shared" si="4"/>
        <v>1</v>
      </c>
      <c r="O131" s="578">
        <v>1</v>
      </c>
      <c r="P131" s="510" t="s">
        <v>37</v>
      </c>
      <c r="Q131" s="212">
        <v>1</v>
      </c>
      <c r="R131" s="511">
        <v>100</v>
      </c>
      <c r="S131" s="512" t="s">
        <v>76</v>
      </c>
      <c r="T131" s="512" t="s">
        <v>77</v>
      </c>
      <c r="U131" s="513" t="s">
        <v>78</v>
      </c>
      <c r="V131" s="249"/>
      <c r="W131" s="249"/>
    </row>
    <row r="132" spans="1:23" s="188" customFormat="1" ht="57">
      <c r="A132" s="504" t="s">
        <v>33</v>
      </c>
      <c r="B132" s="250">
        <v>43346</v>
      </c>
      <c r="C132" s="251" t="s">
        <v>1272</v>
      </c>
      <c r="D132" s="505" t="s">
        <v>137</v>
      </c>
      <c r="E132" s="506" t="s">
        <v>79</v>
      </c>
      <c r="F132" s="514" t="s">
        <v>80</v>
      </c>
      <c r="G132" s="210">
        <f t="shared" si="0"/>
        <v>628834.16</v>
      </c>
      <c r="H132" s="211">
        <v>628834.16</v>
      </c>
      <c r="I132" s="210">
        <f t="shared" si="1"/>
        <v>628834.16</v>
      </c>
      <c r="J132" s="211">
        <f>617511.98+11322.18</f>
        <v>628834.16</v>
      </c>
      <c r="K132" s="210">
        <f t="shared" si="2"/>
        <v>0</v>
      </c>
      <c r="L132" s="508">
        <f t="shared" si="3"/>
        <v>0</v>
      </c>
      <c r="M132" s="509" t="s">
        <v>57</v>
      </c>
      <c r="N132" s="578">
        <f t="shared" si="4"/>
        <v>1</v>
      </c>
      <c r="O132" s="578">
        <v>1</v>
      </c>
      <c r="P132" s="510" t="s">
        <v>37</v>
      </c>
      <c r="Q132" s="212">
        <v>1</v>
      </c>
      <c r="R132" s="511">
        <v>25000</v>
      </c>
      <c r="S132" s="512" t="s">
        <v>70</v>
      </c>
      <c r="T132" s="512" t="s">
        <v>264</v>
      </c>
      <c r="U132" s="513" t="s">
        <v>265</v>
      </c>
      <c r="V132" s="249"/>
      <c r="W132" s="249"/>
    </row>
    <row r="133" spans="1:23" s="188" customFormat="1" ht="57">
      <c r="A133" s="504" t="s">
        <v>33</v>
      </c>
      <c r="B133" s="250">
        <v>43220</v>
      </c>
      <c r="C133" s="251" t="s">
        <v>315</v>
      </c>
      <c r="D133" s="505" t="s">
        <v>137</v>
      </c>
      <c r="E133" s="506" t="s">
        <v>81</v>
      </c>
      <c r="F133" s="514" t="s">
        <v>82</v>
      </c>
      <c r="G133" s="210">
        <f t="shared" si="0"/>
        <v>880099.71</v>
      </c>
      <c r="H133" s="211">
        <v>880099.71</v>
      </c>
      <c r="I133" s="210">
        <f t="shared" si="1"/>
        <v>880099.71</v>
      </c>
      <c r="J133" s="211">
        <f>578304.78+283132.92+18662.01</f>
        <v>880099.71</v>
      </c>
      <c r="K133" s="210">
        <f t="shared" si="2"/>
        <v>0</v>
      </c>
      <c r="L133" s="508">
        <f t="shared" si="3"/>
        <v>0</v>
      </c>
      <c r="M133" s="509" t="s">
        <v>57</v>
      </c>
      <c r="N133" s="578">
        <f t="shared" si="4"/>
        <v>1</v>
      </c>
      <c r="O133" s="578">
        <v>1</v>
      </c>
      <c r="P133" s="510" t="s">
        <v>37</v>
      </c>
      <c r="Q133" s="212">
        <v>1</v>
      </c>
      <c r="R133" s="511">
        <v>25000</v>
      </c>
      <c r="S133" s="512" t="s">
        <v>70</v>
      </c>
      <c r="T133" s="512" t="s">
        <v>195</v>
      </c>
      <c r="U133" s="513" t="s">
        <v>196</v>
      </c>
      <c r="V133" s="249"/>
      <c r="W133" s="249"/>
    </row>
    <row r="134" spans="1:23" s="188" customFormat="1" ht="71.25">
      <c r="A134" s="504" t="s">
        <v>33</v>
      </c>
      <c r="B134" s="250">
        <v>43346</v>
      </c>
      <c r="C134" s="251" t="s">
        <v>1273</v>
      </c>
      <c r="D134" s="505" t="s">
        <v>137</v>
      </c>
      <c r="E134" s="506" t="s">
        <v>83</v>
      </c>
      <c r="F134" s="514" t="s">
        <v>84</v>
      </c>
      <c r="G134" s="210">
        <f t="shared" si="0"/>
        <v>1620991.93</v>
      </c>
      <c r="H134" s="211">
        <v>1620991.93</v>
      </c>
      <c r="I134" s="210">
        <f t="shared" si="1"/>
        <v>1620991.93</v>
      </c>
      <c r="J134" s="211">
        <f>1518277.22+102714.71</f>
        <v>1620991.93</v>
      </c>
      <c r="K134" s="210">
        <f t="shared" si="2"/>
        <v>0</v>
      </c>
      <c r="L134" s="508">
        <f t="shared" si="3"/>
        <v>0</v>
      </c>
      <c r="M134" s="509" t="s">
        <v>57</v>
      </c>
      <c r="N134" s="578">
        <f t="shared" si="4"/>
        <v>1</v>
      </c>
      <c r="O134" s="578">
        <v>1</v>
      </c>
      <c r="P134" s="510" t="s">
        <v>37</v>
      </c>
      <c r="Q134" s="212">
        <v>1</v>
      </c>
      <c r="R134" s="511">
        <v>25000</v>
      </c>
      <c r="S134" s="512" t="s">
        <v>266</v>
      </c>
      <c r="T134" s="512" t="s">
        <v>267</v>
      </c>
      <c r="U134" s="513" t="s">
        <v>268</v>
      </c>
      <c r="V134" s="249"/>
      <c r="W134" s="249"/>
    </row>
    <row r="135" spans="1:23" s="188" customFormat="1" ht="99.75">
      <c r="A135" s="504" t="s">
        <v>33</v>
      </c>
      <c r="B135" s="250">
        <v>43220</v>
      </c>
      <c r="C135" s="251" t="s">
        <v>316</v>
      </c>
      <c r="D135" s="505" t="s">
        <v>137</v>
      </c>
      <c r="E135" s="506" t="s">
        <v>85</v>
      </c>
      <c r="F135" s="514" t="s">
        <v>86</v>
      </c>
      <c r="G135" s="210">
        <f t="shared" si="0"/>
        <v>816832.37</v>
      </c>
      <c r="H135" s="211">
        <v>816832.37</v>
      </c>
      <c r="I135" s="210">
        <f t="shared" si="1"/>
        <v>816832.37</v>
      </c>
      <c r="J135" s="211">
        <f>796783.42+20048.95</f>
        <v>816832.37</v>
      </c>
      <c r="K135" s="210">
        <f t="shared" si="2"/>
        <v>0</v>
      </c>
      <c r="L135" s="508">
        <f t="shared" si="3"/>
        <v>0</v>
      </c>
      <c r="M135" s="509" t="s">
        <v>57</v>
      </c>
      <c r="N135" s="578">
        <f t="shared" si="4"/>
        <v>1</v>
      </c>
      <c r="O135" s="578">
        <v>1</v>
      </c>
      <c r="P135" s="510" t="s">
        <v>37</v>
      </c>
      <c r="Q135" s="212">
        <v>1</v>
      </c>
      <c r="R135" s="511">
        <v>25000</v>
      </c>
      <c r="S135" s="512" t="s">
        <v>70</v>
      </c>
      <c r="T135" s="512" t="s">
        <v>269</v>
      </c>
      <c r="U135" s="513" t="s">
        <v>270</v>
      </c>
      <c r="V135" s="249"/>
      <c r="W135" s="249"/>
    </row>
    <row r="136" spans="1:23" s="188" customFormat="1" ht="57">
      <c r="A136" s="504" t="s">
        <v>33</v>
      </c>
      <c r="B136" s="250">
        <v>43264</v>
      </c>
      <c r="C136" s="251" t="s">
        <v>536</v>
      </c>
      <c r="D136" s="505" t="s">
        <v>197</v>
      </c>
      <c r="E136" s="506" t="s">
        <v>87</v>
      </c>
      <c r="F136" s="514" t="s">
        <v>88</v>
      </c>
      <c r="G136" s="210">
        <f t="shared" si="0"/>
        <v>6170478.8199999994</v>
      </c>
      <c r="H136" s="211">
        <f>I136</f>
        <v>6170478.8199999994</v>
      </c>
      <c r="I136" s="210">
        <f t="shared" si="1"/>
        <v>6170478.8199999994</v>
      </c>
      <c r="J136" s="211">
        <f>1851143.65+1015910.29+850142.87+116435.3+412858.35+258486.02+406501.7+1259000.64</f>
        <v>6170478.8199999994</v>
      </c>
      <c r="K136" s="210">
        <f t="shared" si="2"/>
        <v>0</v>
      </c>
      <c r="L136" s="508">
        <f t="shared" si="3"/>
        <v>0</v>
      </c>
      <c r="M136" s="509" t="s">
        <v>57</v>
      </c>
      <c r="N136" s="578">
        <f t="shared" si="4"/>
        <v>1</v>
      </c>
      <c r="O136" s="578">
        <v>0.8</v>
      </c>
      <c r="P136" s="510" t="s">
        <v>37</v>
      </c>
      <c r="Q136" s="212">
        <v>1</v>
      </c>
      <c r="R136" s="511">
        <v>100000</v>
      </c>
      <c r="S136" s="512" t="s">
        <v>64</v>
      </c>
      <c r="T136" s="512" t="s">
        <v>65</v>
      </c>
      <c r="U136" s="513" t="s">
        <v>271</v>
      </c>
      <c r="V136" s="249"/>
      <c r="W136" s="249"/>
    </row>
    <row r="137" spans="1:23" s="188" customFormat="1" ht="29.25">
      <c r="A137" s="504" t="s">
        <v>33</v>
      </c>
      <c r="B137" s="515">
        <v>43460</v>
      </c>
      <c r="C137" s="519" t="s">
        <v>1312</v>
      </c>
      <c r="D137" s="516" t="s">
        <v>127</v>
      </c>
      <c r="E137" s="574" t="s">
        <v>1031</v>
      </c>
      <c r="F137" s="575" t="s">
        <v>1274</v>
      </c>
      <c r="G137" s="210">
        <f t="shared" si="0"/>
        <v>770600.76</v>
      </c>
      <c r="H137" s="576">
        <v>770600.76</v>
      </c>
      <c r="I137" s="210">
        <f t="shared" si="1"/>
        <v>0</v>
      </c>
      <c r="J137" s="576">
        <f>0</f>
        <v>0</v>
      </c>
      <c r="K137" s="210">
        <f t="shared" si="2"/>
        <v>770600.76</v>
      </c>
      <c r="L137" s="508">
        <f>H137-J137</f>
        <v>770600.76</v>
      </c>
      <c r="M137" s="517" t="s">
        <v>57</v>
      </c>
      <c r="N137" s="578">
        <f t="shared" si="4"/>
        <v>0</v>
      </c>
      <c r="O137" s="578">
        <v>0</v>
      </c>
      <c r="P137" s="510" t="s">
        <v>37</v>
      </c>
      <c r="Q137" s="212">
        <v>1</v>
      </c>
      <c r="R137" s="518">
        <v>500</v>
      </c>
      <c r="S137" s="512" t="s">
        <v>38</v>
      </c>
      <c r="T137" s="512" t="s">
        <v>38</v>
      </c>
      <c r="U137" s="513" t="s">
        <v>39</v>
      </c>
      <c r="V137" s="249"/>
      <c r="W137" s="249"/>
    </row>
    <row r="138" spans="1:23" s="188" customFormat="1" ht="57.75">
      <c r="A138" s="504" t="s">
        <v>33</v>
      </c>
      <c r="B138" s="515">
        <v>43439</v>
      </c>
      <c r="C138" s="519" t="s">
        <v>1060</v>
      </c>
      <c r="D138" s="516" t="s">
        <v>127</v>
      </c>
      <c r="E138" s="574" t="s">
        <v>1061</v>
      </c>
      <c r="F138" s="575" t="s">
        <v>1275</v>
      </c>
      <c r="G138" s="315">
        <f t="shared" si="0"/>
        <v>496965.34</v>
      </c>
      <c r="H138" s="576">
        <v>496965.34</v>
      </c>
      <c r="I138" s="210">
        <f t="shared" si="1"/>
        <v>0</v>
      </c>
      <c r="J138" s="576">
        <f>0</f>
        <v>0</v>
      </c>
      <c r="K138" s="210">
        <f t="shared" si="2"/>
        <v>496965.34</v>
      </c>
      <c r="L138" s="508">
        <f t="shared" si="3"/>
        <v>496965.34</v>
      </c>
      <c r="M138" s="517" t="s">
        <v>57</v>
      </c>
      <c r="N138" s="578">
        <f t="shared" si="4"/>
        <v>0</v>
      </c>
      <c r="O138" s="579">
        <v>0</v>
      </c>
      <c r="P138" s="510" t="s">
        <v>37</v>
      </c>
      <c r="Q138" s="520">
        <v>1</v>
      </c>
      <c r="R138" s="518">
        <v>250000</v>
      </c>
      <c r="S138" s="512" t="s">
        <v>38</v>
      </c>
      <c r="T138" s="512" t="s">
        <v>38</v>
      </c>
      <c r="U138" s="513" t="s">
        <v>39</v>
      </c>
      <c r="V138" s="249"/>
      <c r="W138" s="249"/>
    </row>
    <row r="139" spans="1:23" s="188" customFormat="1" ht="44.25">
      <c r="A139" s="504" t="s">
        <v>33</v>
      </c>
      <c r="B139" s="515">
        <v>43439</v>
      </c>
      <c r="C139" s="519" t="s">
        <v>1062</v>
      </c>
      <c r="D139" s="516" t="s">
        <v>127</v>
      </c>
      <c r="E139" s="574" t="s">
        <v>1063</v>
      </c>
      <c r="F139" s="575" t="s">
        <v>1276</v>
      </c>
      <c r="G139" s="315">
        <f t="shared" si="0"/>
        <v>310019.21000000002</v>
      </c>
      <c r="H139" s="576">
        <v>310019.21000000002</v>
      </c>
      <c r="I139" s="210">
        <f t="shared" ref="I139:I153" si="7">J139</f>
        <v>0</v>
      </c>
      <c r="J139" s="576">
        <v>0</v>
      </c>
      <c r="K139" s="210">
        <f t="shared" ref="K139:K153" si="8">L139</f>
        <v>310019.21000000002</v>
      </c>
      <c r="L139" s="508">
        <f t="shared" si="3"/>
        <v>310019.21000000002</v>
      </c>
      <c r="M139" s="517" t="s">
        <v>57</v>
      </c>
      <c r="N139" s="578">
        <f t="shared" ref="N139:N148" si="9">I139/G139</f>
        <v>0</v>
      </c>
      <c r="O139" s="579">
        <v>0</v>
      </c>
      <c r="P139" s="510" t="s">
        <v>37</v>
      </c>
      <c r="Q139" s="520">
        <v>1</v>
      </c>
      <c r="R139" s="518">
        <v>100000</v>
      </c>
      <c r="S139" s="512" t="s">
        <v>38</v>
      </c>
      <c r="T139" s="512" t="s">
        <v>38</v>
      </c>
      <c r="U139" s="513" t="s">
        <v>39</v>
      </c>
      <c r="V139" s="249"/>
      <c r="W139" s="249"/>
    </row>
    <row r="140" spans="1:23" s="188" customFormat="1" ht="72.75">
      <c r="A140" s="504" t="s">
        <v>33</v>
      </c>
      <c r="B140" s="515">
        <v>43439</v>
      </c>
      <c r="C140" s="519" t="s">
        <v>1064</v>
      </c>
      <c r="D140" s="516" t="s">
        <v>127</v>
      </c>
      <c r="E140" s="574" t="s">
        <v>1065</v>
      </c>
      <c r="F140" s="575" t="s">
        <v>1277</v>
      </c>
      <c r="G140" s="315">
        <f t="shared" si="0"/>
        <v>2000000</v>
      </c>
      <c r="H140" s="576">
        <v>2000000</v>
      </c>
      <c r="I140" s="210">
        <f t="shared" si="7"/>
        <v>0</v>
      </c>
      <c r="J140" s="576">
        <v>0</v>
      </c>
      <c r="K140" s="210">
        <f t="shared" si="8"/>
        <v>2000000</v>
      </c>
      <c r="L140" s="508">
        <f t="shared" si="3"/>
        <v>2000000</v>
      </c>
      <c r="M140" s="517" t="s">
        <v>57</v>
      </c>
      <c r="N140" s="578">
        <f t="shared" si="9"/>
        <v>0</v>
      </c>
      <c r="O140" s="579">
        <v>0</v>
      </c>
      <c r="P140" s="510" t="s">
        <v>37</v>
      </c>
      <c r="Q140" s="520">
        <v>1</v>
      </c>
      <c r="R140" s="518">
        <v>2000</v>
      </c>
      <c r="S140" s="512" t="s">
        <v>38</v>
      </c>
      <c r="T140" s="512" t="s">
        <v>38</v>
      </c>
      <c r="U140" s="513" t="s">
        <v>39</v>
      </c>
      <c r="V140" s="249"/>
      <c r="W140" s="249"/>
    </row>
    <row r="141" spans="1:23" s="188" customFormat="1" ht="43.5">
      <c r="A141" s="504" t="s">
        <v>33</v>
      </c>
      <c r="B141" s="515">
        <v>43447</v>
      </c>
      <c r="C141" s="519" t="s">
        <v>1066</v>
      </c>
      <c r="D141" s="516" t="s">
        <v>137</v>
      </c>
      <c r="E141" s="574" t="s">
        <v>1067</v>
      </c>
      <c r="F141" s="575" t="s">
        <v>1278</v>
      </c>
      <c r="G141" s="315">
        <f t="shared" si="0"/>
        <v>669042.89</v>
      </c>
      <c r="H141" s="576">
        <v>669042.89</v>
      </c>
      <c r="I141" s="210">
        <f t="shared" si="7"/>
        <v>0</v>
      </c>
      <c r="J141" s="576">
        <v>0</v>
      </c>
      <c r="K141" s="210">
        <f t="shared" si="8"/>
        <v>669042.89</v>
      </c>
      <c r="L141" s="508">
        <f t="shared" si="3"/>
        <v>669042.89</v>
      </c>
      <c r="M141" s="517" t="s">
        <v>57</v>
      </c>
      <c r="N141" s="578">
        <f t="shared" si="9"/>
        <v>0</v>
      </c>
      <c r="O141" s="579">
        <v>0</v>
      </c>
      <c r="P141" s="510" t="s">
        <v>1068</v>
      </c>
      <c r="Q141" s="520">
        <v>4</v>
      </c>
      <c r="R141" s="518">
        <v>1739</v>
      </c>
      <c r="S141" s="512" t="s">
        <v>38</v>
      </c>
      <c r="T141" s="512" t="s">
        <v>38</v>
      </c>
      <c r="U141" s="513" t="s">
        <v>39</v>
      </c>
      <c r="V141" s="249"/>
      <c r="W141" s="249"/>
    </row>
    <row r="142" spans="1:23" s="188" customFormat="1" ht="43.5">
      <c r="A142" s="504" t="s">
        <v>33</v>
      </c>
      <c r="B142" s="515">
        <v>43447</v>
      </c>
      <c r="C142" s="519" t="s">
        <v>1069</v>
      </c>
      <c r="D142" s="516" t="s">
        <v>137</v>
      </c>
      <c r="E142" s="574" t="s">
        <v>1070</v>
      </c>
      <c r="F142" s="575" t="s">
        <v>1278</v>
      </c>
      <c r="G142" s="315">
        <f t="shared" si="0"/>
        <v>430524.35</v>
      </c>
      <c r="H142" s="576">
        <v>430524.35</v>
      </c>
      <c r="I142" s="210">
        <f t="shared" si="7"/>
        <v>0</v>
      </c>
      <c r="J142" s="576">
        <v>0</v>
      </c>
      <c r="K142" s="210">
        <f t="shared" si="8"/>
        <v>430524.35</v>
      </c>
      <c r="L142" s="508">
        <f t="shared" si="3"/>
        <v>430524.35</v>
      </c>
      <c r="M142" s="517" t="s">
        <v>57</v>
      </c>
      <c r="N142" s="578">
        <f t="shared" si="9"/>
        <v>0</v>
      </c>
      <c r="O142" s="579">
        <v>0</v>
      </c>
      <c r="P142" s="510" t="s">
        <v>1068</v>
      </c>
      <c r="Q142" s="520">
        <v>5</v>
      </c>
      <c r="R142" s="518">
        <v>1250</v>
      </c>
      <c r="S142" s="512" t="s">
        <v>38</v>
      </c>
      <c r="T142" s="512" t="s">
        <v>38</v>
      </c>
      <c r="U142" s="513" t="s">
        <v>39</v>
      </c>
      <c r="V142" s="249"/>
      <c r="W142" s="249"/>
    </row>
    <row r="143" spans="1:23" s="188" customFormat="1" ht="43.5">
      <c r="A143" s="504" t="s">
        <v>33</v>
      </c>
      <c r="B143" s="515">
        <v>43447</v>
      </c>
      <c r="C143" s="519" t="s">
        <v>1071</v>
      </c>
      <c r="D143" s="516" t="s">
        <v>137</v>
      </c>
      <c r="E143" s="574" t="s">
        <v>1072</v>
      </c>
      <c r="F143" s="575" t="s">
        <v>1279</v>
      </c>
      <c r="G143" s="315">
        <f t="shared" si="0"/>
        <v>876996.22</v>
      </c>
      <c r="H143" s="576">
        <v>876996.22</v>
      </c>
      <c r="I143" s="210">
        <f t="shared" si="7"/>
        <v>0</v>
      </c>
      <c r="J143" s="576">
        <v>0</v>
      </c>
      <c r="K143" s="210">
        <f t="shared" si="8"/>
        <v>876996.22</v>
      </c>
      <c r="L143" s="508">
        <f t="shared" si="3"/>
        <v>876996.22</v>
      </c>
      <c r="M143" s="517" t="s">
        <v>57</v>
      </c>
      <c r="N143" s="578">
        <f t="shared" si="9"/>
        <v>0</v>
      </c>
      <c r="O143" s="579">
        <v>0</v>
      </c>
      <c r="P143" s="510" t="s">
        <v>1068</v>
      </c>
      <c r="Q143" s="520">
        <v>3</v>
      </c>
      <c r="R143" s="518">
        <v>750</v>
      </c>
      <c r="S143" s="512" t="s">
        <v>38</v>
      </c>
      <c r="T143" s="512" t="s">
        <v>38</v>
      </c>
      <c r="U143" s="513" t="s">
        <v>39</v>
      </c>
      <c r="V143" s="249"/>
      <c r="W143" s="249"/>
    </row>
    <row r="144" spans="1:23" s="188" customFormat="1" ht="57.75">
      <c r="A144" s="504" t="s">
        <v>33</v>
      </c>
      <c r="B144" s="515">
        <v>43455</v>
      </c>
      <c r="C144" s="519" t="s">
        <v>1073</v>
      </c>
      <c r="D144" s="516" t="s">
        <v>197</v>
      </c>
      <c r="E144" s="574" t="s">
        <v>1074</v>
      </c>
      <c r="F144" s="575" t="s">
        <v>1280</v>
      </c>
      <c r="G144" s="315">
        <f t="shared" si="0"/>
        <v>1120000</v>
      </c>
      <c r="H144" s="576">
        <v>1120000</v>
      </c>
      <c r="I144" s="315">
        <f t="shared" si="7"/>
        <v>0</v>
      </c>
      <c r="J144" s="576">
        <v>0</v>
      </c>
      <c r="K144" s="210">
        <f t="shared" si="8"/>
        <v>1120000</v>
      </c>
      <c r="L144" s="508">
        <f t="shared" si="3"/>
        <v>1120000</v>
      </c>
      <c r="M144" s="517" t="s">
        <v>57</v>
      </c>
      <c r="N144" s="579">
        <f t="shared" si="9"/>
        <v>0</v>
      </c>
      <c r="O144" s="579">
        <v>0</v>
      </c>
      <c r="P144" s="521" t="s">
        <v>37</v>
      </c>
      <c r="Q144" s="520">
        <v>1</v>
      </c>
      <c r="R144" s="518">
        <v>2500</v>
      </c>
      <c r="S144" s="512" t="s">
        <v>38</v>
      </c>
      <c r="T144" s="512" t="s">
        <v>38</v>
      </c>
      <c r="U144" s="513" t="s">
        <v>39</v>
      </c>
      <c r="V144" s="249"/>
      <c r="W144" s="249"/>
    </row>
    <row r="145" spans="1:23" s="188" customFormat="1" ht="43.5">
      <c r="A145" s="504" t="s">
        <v>33</v>
      </c>
      <c r="B145" s="515">
        <v>43455</v>
      </c>
      <c r="C145" s="519" t="s">
        <v>1075</v>
      </c>
      <c r="D145" s="516" t="s">
        <v>137</v>
      </c>
      <c r="E145" s="574" t="s">
        <v>1076</v>
      </c>
      <c r="F145" s="575" t="s">
        <v>1281</v>
      </c>
      <c r="G145" s="315">
        <f t="shared" si="0"/>
        <v>153860.65</v>
      </c>
      <c r="H145" s="576">
        <v>153860.65</v>
      </c>
      <c r="I145" s="315">
        <f t="shared" si="7"/>
        <v>0</v>
      </c>
      <c r="J145" s="576">
        <v>0</v>
      </c>
      <c r="K145" s="210">
        <f t="shared" si="8"/>
        <v>153860.65</v>
      </c>
      <c r="L145" s="508">
        <f t="shared" si="3"/>
        <v>153860.65</v>
      </c>
      <c r="M145" s="517" t="s">
        <v>57</v>
      </c>
      <c r="N145" s="579">
        <f t="shared" si="9"/>
        <v>0</v>
      </c>
      <c r="O145" s="579">
        <v>0</v>
      </c>
      <c r="P145" s="521" t="s">
        <v>37</v>
      </c>
      <c r="Q145" s="520">
        <v>1</v>
      </c>
      <c r="R145" s="518">
        <v>100</v>
      </c>
      <c r="S145" s="512" t="s">
        <v>38</v>
      </c>
      <c r="T145" s="512" t="s">
        <v>38</v>
      </c>
      <c r="U145" s="513" t="s">
        <v>39</v>
      </c>
      <c r="V145" s="249"/>
      <c r="W145" s="249"/>
    </row>
    <row r="146" spans="1:23" s="188" customFormat="1" ht="57.75">
      <c r="A146" s="504" t="s">
        <v>33</v>
      </c>
      <c r="B146" s="515">
        <v>43455</v>
      </c>
      <c r="C146" s="519" t="s">
        <v>1077</v>
      </c>
      <c r="D146" s="516" t="s">
        <v>137</v>
      </c>
      <c r="E146" s="574" t="s">
        <v>1078</v>
      </c>
      <c r="F146" s="575" t="s">
        <v>1282</v>
      </c>
      <c r="G146" s="315">
        <f t="shared" ref="G146:G153" si="10">H146</f>
        <v>359516.75</v>
      </c>
      <c r="H146" s="576">
        <v>359516.75</v>
      </c>
      <c r="I146" s="315">
        <f t="shared" si="7"/>
        <v>0</v>
      </c>
      <c r="J146" s="576">
        <v>0</v>
      </c>
      <c r="K146" s="210">
        <f t="shared" si="8"/>
        <v>359516.75</v>
      </c>
      <c r="L146" s="508">
        <f t="shared" si="3"/>
        <v>359516.75</v>
      </c>
      <c r="M146" s="517" t="s">
        <v>57</v>
      </c>
      <c r="N146" s="579">
        <f t="shared" si="9"/>
        <v>0</v>
      </c>
      <c r="O146" s="579">
        <v>0</v>
      </c>
      <c r="P146" s="521" t="s">
        <v>37</v>
      </c>
      <c r="Q146" s="520">
        <v>1</v>
      </c>
      <c r="R146" s="518">
        <v>120</v>
      </c>
      <c r="S146" s="512" t="s">
        <v>38</v>
      </c>
      <c r="T146" s="512" t="s">
        <v>38</v>
      </c>
      <c r="U146" s="513" t="s">
        <v>39</v>
      </c>
      <c r="V146" s="249"/>
      <c r="W146" s="249"/>
    </row>
    <row r="147" spans="1:23" s="188" customFormat="1" ht="44.25">
      <c r="A147" s="504" t="s">
        <v>33</v>
      </c>
      <c r="B147" s="515">
        <v>43455</v>
      </c>
      <c r="C147" s="519" t="s">
        <v>1079</v>
      </c>
      <c r="D147" s="516" t="s">
        <v>197</v>
      </c>
      <c r="E147" s="574" t="s">
        <v>1080</v>
      </c>
      <c r="F147" s="575" t="s">
        <v>1283</v>
      </c>
      <c r="G147" s="315">
        <f t="shared" si="10"/>
        <v>536000</v>
      </c>
      <c r="H147" s="576">
        <v>536000</v>
      </c>
      <c r="I147" s="315">
        <f t="shared" si="7"/>
        <v>0</v>
      </c>
      <c r="J147" s="576">
        <v>0</v>
      </c>
      <c r="K147" s="210">
        <f t="shared" si="8"/>
        <v>536000</v>
      </c>
      <c r="L147" s="508">
        <f t="shared" si="3"/>
        <v>536000</v>
      </c>
      <c r="M147" s="517" t="s">
        <v>57</v>
      </c>
      <c r="N147" s="579">
        <f t="shared" si="9"/>
        <v>0</v>
      </c>
      <c r="O147" s="579">
        <v>0</v>
      </c>
      <c r="P147" s="521" t="s">
        <v>37</v>
      </c>
      <c r="Q147" s="520">
        <v>1</v>
      </c>
      <c r="R147" s="518">
        <v>1393</v>
      </c>
      <c r="S147" s="512" t="s">
        <v>38</v>
      </c>
      <c r="T147" s="512" t="s">
        <v>38</v>
      </c>
      <c r="U147" s="513" t="s">
        <v>39</v>
      </c>
      <c r="V147" s="249"/>
      <c r="W147" s="249"/>
    </row>
    <row r="148" spans="1:23" s="188" customFormat="1" ht="57.75">
      <c r="A148" s="504" t="s">
        <v>33</v>
      </c>
      <c r="B148" s="515">
        <v>43455</v>
      </c>
      <c r="C148" s="519" t="s">
        <v>1081</v>
      </c>
      <c r="D148" s="516" t="s">
        <v>137</v>
      </c>
      <c r="E148" s="574" t="s">
        <v>1082</v>
      </c>
      <c r="F148" s="575" t="s">
        <v>1284</v>
      </c>
      <c r="G148" s="315">
        <f t="shared" si="10"/>
        <v>566825.07999999996</v>
      </c>
      <c r="H148" s="576">
        <v>566825.07999999996</v>
      </c>
      <c r="I148" s="315">
        <f t="shared" si="7"/>
        <v>0</v>
      </c>
      <c r="J148" s="576">
        <v>0</v>
      </c>
      <c r="K148" s="210">
        <f t="shared" si="8"/>
        <v>566825.07999999996</v>
      </c>
      <c r="L148" s="508">
        <f t="shared" si="3"/>
        <v>566825.07999999996</v>
      </c>
      <c r="M148" s="517" t="s">
        <v>57</v>
      </c>
      <c r="N148" s="579">
        <f t="shared" si="9"/>
        <v>0</v>
      </c>
      <c r="O148" s="579">
        <v>0</v>
      </c>
      <c r="P148" s="521" t="s">
        <v>37</v>
      </c>
      <c r="Q148" s="520">
        <v>1</v>
      </c>
      <c r="R148" s="518">
        <v>150</v>
      </c>
      <c r="S148" s="512" t="s">
        <v>38</v>
      </c>
      <c r="T148" s="512" t="s">
        <v>38</v>
      </c>
      <c r="U148" s="513" t="s">
        <v>39</v>
      </c>
      <c r="V148" s="249"/>
      <c r="W148" s="249"/>
    </row>
    <row r="149" spans="1:23" s="188" customFormat="1" ht="115.5">
      <c r="A149" s="504" t="s">
        <v>33</v>
      </c>
      <c r="B149" s="250">
        <v>43455</v>
      </c>
      <c r="C149" s="251" t="s">
        <v>1083</v>
      </c>
      <c r="D149" s="505" t="s">
        <v>137</v>
      </c>
      <c r="E149" s="506" t="s">
        <v>1084</v>
      </c>
      <c r="F149" s="514" t="s">
        <v>1285</v>
      </c>
      <c r="G149" s="210">
        <f t="shared" ref="G149:G152" si="11">H149</f>
        <v>176441.42</v>
      </c>
      <c r="H149" s="211">
        <v>176441.42</v>
      </c>
      <c r="I149" s="210">
        <f t="shared" ref="I149:I152" si="12">J149</f>
        <v>0</v>
      </c>
      <c r="J149" s="211">
        <v>0</v>
      </c>
      <c r="K149" s="210">
        <f t="shared" ref="K149:K152" si="13">L149</f>
        <v>176441.42</v>
      </c>
      <c r="L149" s="508">
        <f t="shared" ref="L149" si="14">H149-J149</f>
        <v>176441.42</v>
      </c>
      <c r="M149" s="509" t="s">
        <v>57</v>
      </c>
      <c r="N149" s="578">
        <f t="shared" ref="N149" si="15">I149/G149</f>
        <v>0</v>
      </c>
      <c r="O149" s="578">
        <v>0</v>
      </c>
      <c r="P149" s="510" t="s">
        <v>37</v>
      </c>
      <c r="Q149" s="212">
        <v>1</v>
      </c>
      <c r="R149" s="511">
        <v>150</v>
      </c>
      <c r="S149" s="512" t="s">
        <v>38</v>
      </c>
      <c r="T149" s="512" t="s">
        <v>38</v>
      </c>
      <c r="U149" s="513" t="s">
        <v>39</v>
      </c>
      <c r="V149" s="249"/>
      <c r="W149" s="249"/>
    </row>
    <row r="150" spans="1:23" s="188" customFormat="1" ht="58.5">
      <c r="A150" s="504" t="s">
        <v>33</v>
      </c>
      <c r="B150" s="250">
        <v>43455</v>
      </c>
      <c r="C150" s="251" t="s">
        <v>1192</v>
      </c>
      <c r="D150" s="505" t="s">
        <v>137</v>
      </c>
      <c r="E150" s="506" t="s">
        <v>1193</v>
      </c>
      <c r="F150" s="514" t="s">
        <v>1286</v>
      </c>
      <c r="G150" s="210">
        <f t="shared" si="11"/>
        <v>1250000</v>
      </c>
      <c r="H150" s="211">
        <v>1250000</v>
      </c>
      <c r="I150" s="210">
        <f t="shared" si="12"/>
        <v>0</v>
      </c>
      <c r="J150" s="211">
        <v>0</v>
      </c>
      <c r="K150" s="210">
        <f t="shared" si="13"/>
        <v>1250000</v>
      </c>
      <c r="L150" s="508">
        <f>H150-J150</f>
        <v>1250000</v>
      </c>
      <c r="M150" s="509" t="s">
        <v>57</v>
      </c>
      <c r="N150" s="578">
        <f>I150/G150</f>
        <v>0</v>
      </c>
      <c r="O150" s="578">
        <v>0</v>
      </c>
      <c r="P150" s="510" t="s">
        <v>37</v>
      </c>
      <c r="Q150" s="212">
        <v>1</v>
      </c>
      <c r="R150" s="511">
        <v>150</v>
      </c>
      <c r="S150" s="512" t="s">
        <v>38</v>
      </c>
      <c r="T150" s="512" t="s">
        <v>38</v>
      </c>
      <c r="U150" s="513" t="s">
        <v>39</v>
      </c>
      <c r="V150" s="249"/>
      <c r="W150" s="249"/>
    </row>
    <row r="151" spans="1:23" s="188" customFormat="1" ht="58.5">
      <c r="A151" s="504" t="s">
        <v>33</v>
      </c>
      <c r="B151" s="250">
        <v>43462</v>
      </c>
      <c r="C151" s="251" t="s">
        <v>1194</v>
      </c>
      <c r="D151" s="505" t="s">
        <v>137</v>
      </c>
      <c r="E151" s="506" t="s">
        <v>1195</v>
      </c>
      <c r="F151" s="514" t="s">
        <v>1287</v>
      </c>
      <c r="G151" s="210">
        <f t="shared" ref="G151" si="16">H151</f>
        <v>1250000</v>
      </c>
      <c r="H151" s="211">
        <v>1250000</v>
      </c>
      <c r="I151" s="210">
        <f t="shared" ref="I151" si="17">J151</f>
        <v>0</v>
      </c>
      <c r="J151" s="211">
        <v>0</v>
      </c>
      <c r="K151" s="210">
        <f t="shared" ref="K151" si="18">L151</f>
        <v>1250000</v>
      </c>
      <c r="L151" s="508">
        <f>H151-J151</f>
        <v>1250000</v>
      </c>
      <c r="M151" s="509" t="s">
        <v>57</v>
      </c>
      <c r="N151" s="578">
        <f>I151/G151</f>
        <v>0</v>
      </c>
      <c r="O151" s="578">
        <v>0</v>
      </c>
      <c r="P151" s="510" t="s">
        <v>37</v>
      </c>
      <c r="Q151" s="212">
        <v>1</v>
      </c>
      <c r="R151" s="511">
        <v>150</v>
      </c>
      <c r="S151" s="512" t="s">
        <v>38</v>
      </c>
      <c r="T151" s="512" t="s">
        <v>38</v>
      </c>
      <c r="U151" s="513" t="s">
        <v>39</v>
      </c>
      <c r="V151" s="249"/>
      <c r="W151" s="249"/>
    </row>
    <row r="152" spans="1:23" s="188" customFormat="1" ht="58.5">
      <c r="A152" s="504" t="s">
        <v>33</v>
      </c>
      <c r="B152" s="250">
        <v>43462</v>
      </c>
      <c r="C152" s="251" t="s">
        <v>1196</v>
      </c>
      <c r="D152" s="505" t="s">
        <v>137</v>
      </c>
      <c r="E152" s="506" t="s">
        <v>1197</v>
      </c>
      <c r="F152" s="514" t="s">
        <v>1288</v>
      </c>
      <c r="G152" s="210">
        <f t="shared" si="11"/>
        <v>1250000</v>
      </c>
      <c r="H152" s="211">
        <v>1250000</v>
      </c>
      <c r="I152" s="210">
        <f t="shared" si="12"/>
        <v>0</v>
      </c>
      <c r="J152" s="211">
        <v>0</v>
      </c>
      <c r="K152" s="210">
        <f t="shared" si="13"/>
        <v>1250000</v>
      </c>
      <c r="L152" s="508">
        <f>H152-J152</f>
        <v>1250000</v>
      </c>
      <c r="M152" s="509" t="s">
        <v>57</v>
      </c>
      <c r="N152" s="578">
        <f>I152/G152</f>
        <v>0</v>
      </c>
      <c r="O152" s="578">
        <v>0</v>
      </c>
      <c r="P152" s="510" t="s">
        <v>37</v>
      </c>
      <c r="Q152" s="212">
        <v>1</v>
      </c>
      <c r="R152" s="511">
        <v>150</v>
      </c>
      <c r="S152" s="512" t="s">
        <v>38</v>
      </c>
      <c r="T152" s="512" t="s">
        <v>38</v>
      </c>
      <c r="U152" s="513" t="s">
        <v>39</v>
      </c>
      <c r="V152" s="249"/>
      <c r="W152" s="249"/>
    </row>
    <row r="153" spans="1:23" s="188" customFormat="1" ht="58.5">
      <c r="A153" s="504" t="s">
        <v>33</v>
      </c>
      <c r="B153" s="250">
        <v>43462</v>
      </c>
      <c r="C153" s="251" t="s">
        <v>1198</v>
      </c>
      <c r="D153" s="505" t="s">
        <v>137</v>
      </c>
      <c r="E153" s="506" t="s">
        <v>1199</v>
      </c>
      <c r="F153" s="514" t="s">
        <v>1289</v>
      </c>
      <c r="G153" s="210">
        <f t="shared" si="10"/>
        <v>1250000</v>
      </c>
      <c r="H153" s="211">
        <v>1250000</v>
      </c>
      <c r="I153" s="210">
        <f t="shared" si="7"/>
        <v>0</v>
      </c>
      <c r="J153" s="211">
        <v>0</v>
      </c>
      <c r="K153" s="210">
        <f t="shared" si="8"/>
        <v>1250000</v>
      </c>
      <c r="L153" s="508">
        <f>H153-J153</f>
        <v>1250000</v>
      </c>
      <c r="M153" s="509" t="s">
        <v>57</v>
      </c>
      <c r="N153" s="578">
        <f>I153/G153</f>
        <v>0</v>
      </c>
      <c r="O153" s="578">
        <v>0</v>
      </c>
      <c r="P153" s="510" t="s">
        <v>37</v>
      </c>
      <c r="Q153" s="212">
        <v>1</v>
      </c>
      <c r="R153" s="511">
        <v>150</v>
      </c>
      <c r="S153" s="512" t="s">
        <v>38</v>
      </c>
      <c r="T153" s="512" t="s">
        <v>38</v>
      </c>
      <c r="U153" s="513" t="s">
        <v>39</v>
      </c>
      <c r="V153" s="249"/>
      <c r="W153" s="249"/>
    </row>
    <row r="154" spans="1:23" s="189" customFormat="1" ht="15.75" thickBot="1">
      <c r="A154" s="268"/>
      <c r="B154" s="268"/>
      <c r="C154" s="268"/>
      <c r="D154" s="268"/>
      <c r="E154" s="522"/>
      <c r="F154" s="268"/>
      <c r="G154" s="523"/>
      <c r="H154" s="523"/>
      <c r="I154" s="523"/>
      <c r="J154" s="523"/>
      <c r="K154" s="523"/>
      <c r="L154" s="524"/>
      <c r="M154" s="525"/>
      <c r="N154" s="268"/>
      <c r="O154" s="268"/>
      <c r="P154" s="526"/>
      <c r="Q154" s="526"/>
      <c r="R154" s="526"/>
      <c r="S154" s="271"/>
      <c r="T154" s="269"/>
      <c r="U154" s="269"/>
      <c r="V154" s="269"/>
    </row>
    <row r="155" spans="1:23" s="112" customFormat="1" ht="16.5" thickTop="1" thickBot="1">
      <c r="A155" s="530"/>
      <c r="B155" s="530"/>
      <c r="C155" s="530"/>
      <c r="D155" s="530"/>
      <c r="E155" s="531"/>
      <c r="F155" s="532" t="s">
        <v>89</v>
      </c>
      <c r="G155" s="533">
        <f t="shared" ref="G155:L155" si="19">SUBTOTAL(9,G13:G153)</f>
        <v>255055429.1999999</v>
      </c>
      <c r="H155" s="533">
        <f t="shared" si="19"/>
        <v>255055429.1999999</v>
      </c>
      <c r="I155" s="533">
        <f t="shared" si="19"/>
        <v>225136946.62</v>
      </c>
      <c r="J155" s="533">
        <f t="shared" si="19"/>
        <v>225136946.62</v>
      </c>
      <c r="K155" s="534">
        <f t="shared" si="19"/>
        <v>29918482.579999998</v>
      </c>
      <c r="L155" s="535">
        <f t="shared" si="19"/>
        <v>29918482.579999998</v>
      </c>
      <c r="M155" s="536"/>
      <c r="N155" s="537"/>
      <c r="O155" s="537"/>
      <c r="P155" s="538"/>
      <c r="Q155" s="539"/>
      <c r="R155" s="539"/>
      <c r="S155" s="540"/>
      <c r="T155" s="537"/>
      <c r="U155" s="537"/>
      <c r="V155" s="537"/>
    </row>
    <row r="156" spans="1:23" ht="15.75" thickTop="1">
      <c r="A156" s="52"/>
      <c r="B156" s="29"/>
      <c r="C156" s="29" t="s">
        <v>90</v>
      </c>
      <c r="D156" s="53"/>
      <c r="E156" s="53"/>
      <c r="F156" s="29"/>
      <c r="G156" s="54"/>
      <c r="H156" s="54"/>
      <c r="I156" s="54"/>
      <c r="J156" s="54"/>
      <c r="K156" s="54"/>
      <c r="L156" s="55"/>
      <c r="M156" s="46"/>
      <c r="N156" s="29"/>
      <c r="O156" s="29"/>
      <c r="P156" s="50"/>
      <c r="Q156" s="51"/>
      <c r="R156" s="51"/>
      <c r="S156" s="46"/>
      <c r="T156" s="29"/>
      <c r="U156" s="29"/>
      <c r="V156" s="29"/>
    </row>
    <row r="157" spans="1:23">
      <c r="A157" s="56" t="s">
        <v>91</v>
      </c>
      <c r="F157" s="14"/>
    </row>
    <row r="158" spans="1:23">
      <c r="F158" s="14"/>
    </row>
    <row r="159" spans="1:23">
      <c r="J159" s="60"/>
    </row>
    <row r="160" spans="1:23">
      <c r="L160" s="488"/>
    </row>
  </sheetData>
  <autoFilter ref="A12:W153">
    <filterColumn colId="15" showButton="0"/>
  </autoFilter>
  <mergeCells count="13">
    <mergeCell ref="A9:B9"/>
    <mergeCell ref="A2:B5"/>
    <mergeCell ref="A7:B7"/>
    <mergeCell ref="A8:B8"/>
    <mergeCell ref="C2:U2"/>
    <mergeCell ref="C5:U5"/>
    <mergeCell ref="C3:U3"/>
    <mergeCell ref="C4:U4"/>
    <mergeCell ref="A10:B10"/>
    <mergeCell ref="G11:H11"/>
    <mergeCell ref="I11:J11"/>
    <mergeCell ref="K11:L11"/>
    <mergeCell ref="P12:Q12"/>
  </mergeCells>
  <pageMargins left="0" right="0" top="0.39370078740157483" bottom="0.35433070866141736" header="0.31496062992125984" footer="0.31496062992125984"/>
  <pageSetup scale="5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workbookViewId="0">
      <selection activeCell="C3" sqref="C3:Q3"/>
    </sheetView>
  </sheetViews>
  <sheetFormatPr baseColWidth="10" defaultRowHeight="15"/>
  <cols>
    <col min="1" max="1" width="14" customWidth="1"/>
    <col min="2" max="2" width="11.85546875" customWidth="1"/>
    <col min="3" max="4" width="17.85546875" customWidth="1"/>
    <col min="5" max="5" width="39.7109375" customWidth="1"/>
    <col min="6" max="6" width="15.140625" customWidth="1"/>
    <col min="7" max="7" width="15.5703125" customWidth="1"/>
    <col min="9" max="9" width="16.28515625" customWidth="1"/>
    <col min="10" max="10" width="9.7109375" customWidth="1"/>
    <col min="12" max="12" width="13.28515625" bestFit="1" customWidth="1"/>
    <col min="15" max="15" width="19" customWidth="1"/>
    <col min="16" max="16" width="21.28515625" customWidth="1"/>
    <col min="17" max="17" width="22.140625" customWidth="1"/>
  </cols>
  <sheetData>
    <row r="2" spans="1:18" ht="18.75" customHeight="1">
      <c r="B2" s="171"/>
      <c r="C2" s="667" t="s">
        <v>1321</v>
      </c>
      <c r="D2" s="667"/>
      <c r="E2" s="667"/>
      <c r="F2" s="667"/>
      <c r="G2" s="667"/>
      <c r="H2" s="667"/>
      <c r="I2" s="667"/>
      <c r="J2" s="667"/>
      <c r="K2" s="667"/>
      <c r="L2" s="667"/>
      <c r="M2" s="667"/>
      <c r="N2" s="667"/>
      <c r="O2" s="667"/>
      <c r="P2" s="667"/>
      <c r="Q2" s="667"/>
      <c r="R2" s="460"/>
    </row>
    <row r="3" spans="1:18" ht="18.75" customHeight="1">
      <c r="B3" s="171"/>
      <c r="C3" s="667" t="s">
        <v>1034</v>
      </c>
      <c r="D3" s="667"/>
      <c r="E3" s="667"/>
      <c r="F3" s="667"/>
      <c r="G3" s="667"/>
      <c r="H3" s="667"/>
      <c r="I3" s="667"/>
      <c r="J3" s="667"/>
      <c r="K3" s="667"/>
      <c r="L3" s="667"/>
      <c r="M3" s="667"/>
      <c r="N3" s="667"/>
      <c r="O3" s="667"/>
      <c r="P3" s="667"/>
      <c r="Q3" s="667"/>
      <c r="R3" s="460"/>
    </row>
    <row r="4" spans="1:18" ht="16.5" customHeight="1">
      <c r="A4" s="661"/>
      <c r="B4" s="171"/>
      <c r="C4" s="667" t="s">
        <v>1035</v>
      </c>
      <c r="D4" s="667"/>
      <c r="E4" s="667"/>
      <c r="F4" s="667"/>
      <c r="G4" s="667"/>
      <c r="H4" s="667"/>
      <c r="I4" s="667"/>
      <c r="J4" s="667"/>
      <c r="K4" s="667"/>
      <c r="L4" s="667"/>
      <c r="M4" s="667"/>
      <c r="N4" s="667"/>
      <c r="O4" s="667"/>
      <c r="P4" s="667"/>
      <c r="Q4" s="667"/>
      <c r="R4" s="460"/>
    </row>
    <row r="5" spans="1:18" ht="24.75" customHeight="1">
      <c r="A5" s="661"/>
      <c r="B5" s="172"/>
      <c r="C5" s="668" t="s">
        <v>1036</v>
      </c>
      <c r="D5" s="668"/>
      <c r="E5" s="668"/>
      <c r="F5" s="668"/>
      <c r="G5" s="668"/>
      <c r="H5" s="668"/>
      <c r="I5" s="668"/>
      <c r="J5" s="668"/>
      <c r="K5" s="668"/>
      <c r="L5" s="668"/>
      <c r="M5" s="668"/>
      <c r="N5" s="668"/>
      <c r="O5" s="668"/>
      <c r="P5" s="668"/>
      <c r="Q5" s="668"/>
      <c r="R5" s="460"/>
    </row>
    <row r="6" spans="1:18" ht="24.75" customHeight="1">
      <c r="A6" s="661"/>
      <c r="B6" s="172"/>
      <c r="C6" s="668" t="s">
        <v>1037</v>
      </c>
      <c r="D6" s="668"/>
      <c r="E6" s="668"/>
      <c r="F6" s="668"/>
      <c r="G6" s="668"/>
      <c r="H6" s="668"/>
      <c r="I6" s="668"/>
      <c r="J6" s="668"/>
      <c r="K6" s="668"/>
      <c r="L6" s="668"/>
      <c r="M6" s="668"/>
      <c r="N6" s="668"/>
      <c r="O6" s="668"/>
      <c r="P6" s="668"/>
      <c r="Q6" s="668"/>
      <c r="R6" s="460"/>
    </row>
    <row r="7" spans="1:18" ht="19.5" thickBot="1">
      <c r="H7" s="185" t="s">
        <v>1318</v>
      </c>
    </row>
    <row r="8" spans="1:18" ht="20.100000000000001" customHeight="1">
      <c r="A8" s="662" t="s">
        <v>92</v>
      </c>
      <c r="B8" s="663"/>
      <c r="C8" s="351">
        <v>69997621.079999998</v>
      </c>
      <c r="E8" s="195"/>
    </row>
    <row r="9" spans="1:18" ht="20.100000000000001" customHeight="1">
      <c r="A9" s="659" t="s">
        <v>842</v>
      </c>
      <c r="B9" s="660"/>
      <c r="C9" s="352">
        <f>F21</f>
        <v>69927623.459999993</v>
      </c>
      <c r="E9" s="195"/>
      <c r="F9" s="116"/>
      <c r="G9" s="116"/>
    </row>
    <row r="10" spans="1:18" ht="20.100000000000001" customHeight="1">
      <c r="A10" s="659" t="s">
        <v>5</v>
      </c>
      <c r="B10" s="660"/>
      <c r="C10" s="352">
        <f>G21</f>
        <v>69990029.420000002</v>
      </c>
      <c r="E10" s="195"/>
      <c r="F10" s="116"/>
      <c r="G10" s="116"/>
    </row>
    <row r="11" spans="1:18" ht="20.100000000000001" customHeight="1" thickBot="1">
      <c r="A11" s="665" t="s">
        <v>13</v>
      </c>
      <c r="B11" s="666"/>
      <c r="C11" s="353">
        <f>C8-C10</f>
        <v>7591.6599999964237</v>
      </c>
      <c r="E11" s="195"/>
      <c r="G11" s="62"/>
      <c r="H11" s="62"/>
      <c r="K11" s="13"/>
      <c r="O11" s="16"/>
      <c r="P11" s="139"/>
    </row>
    <row r="12" spans="1:18" ht="15" customHeight="1" thickBot="1">
      <c r="G12" s="61"/>
      <c r="I12" s="62"/>
      <c r="L12" s="13"/>
      <c r="P12" s="16"/>
      <c r="Q12" s="139" t="s">
        <v>1039</v>
      </c>
    </row>
    <row r="13" spans="1:18" s="58" customFormat="1" ht="16.5" thickTop="1" thickBot="1">
      <c r="A13" s="63"/>
      <c r="B13" s="63"/>
      <c r="C13" s="63"/>
      <c r="D13" s="63"/>
      <c r="E13" s="63"/>
      <c r="F13" s="64" t="s">
        <v>14</v>
      </c>
      <c r="G13" s="66" t="s">
        <v>15</v>
      </c>
      <c r="H13" s="67" t="s">
        <v>16</v>
      </c>
      <c r="I13" s="68"/>
      <c r="O13" s="69"/>
    </row>
    <row r="14" spans="1:18" s="58" customFormat="1" ht="37.5" customHeight="1" thickTop="1" thickBot="1">
      <c r="A14" s="70" t="s">
        <v>17</v>
      </c>
      <c r="B14" s="71" t="s">
        <v>18</v>
      </c>
      <c r="C14" s="71" t="s">
        <v>19</v>
      </c>
      <c r="D14" s="71" t="s">
        <v>94</v>
      </c>
      <c r="E14" s="71" t="s">
        <v>22</v>
      </c>
      <c r="F14" s="72" t="s">
        <v>23</v>
      </c>
      <c r="G14" s="73" t="s">
        <v>23</v>
      </c>
      <c r="H14" s="72" t="s">
        <v>23</v>
      </c>
      <c r="I14" s="71" t="s">
        <v>25</v>
      </c>
      <c r="J14" s="71" t="s">
        <v>96</v>
      </c>
      <c r="K14" s="71" t="s">
        <v>97</v>
      </c>
      <c r="L14" s="669" t="s">
        <v>28</v>
      </c>
      <c r="M14" s="670"/>
      <c r="N14" s="71" t="s">
        <v>29</v>
      </c>
      <c r="O14" s="71" t="s">
        <v>98</v>
      </c>
      <c r="P14" s="71" t="s">
        <v>31</v>
      </c>
      <c r="Q14" s="74" t="s">
        <v>32</v>
      </c>
    </row>
    <row r="15" spans="1:18" s="58" customFormat="1" ht="89.1" customHeight="1">
      <c r="A15" s="221" t="s">
        <v>99</v>
      </c>
      <c r="B15" s="222">
        <v>43111</v>
      </c>
      <c r="C15" s="357" t="s">
        <v>956</v>
      </c>
      <c r="D15" s="224" t="s">
        <v>102</v>
      </c>
      <c r="E15" s="225" t="s">
        <v>103</v>
      </c>
      <c r="F15" s="226">
        <v>24800000</v>
      </c>
      <c r="G15" s="226">
        <f>3614645.96+3865230.27+1202822.4+7477279.76+5000497.33+3639524.09</f>
        <v>24799999.809999999</v>
      </c>
      <c r="H15" s="354">
        <f>F15-G15</f>
        <v>0.19000000134110451</v>
      </c>
      <c r="I15" s="229" t="s">
        <v>104</v>
      </c>
      <c r="J15" s="230">
        <f>G15/F15</f>
        <v>0.99999999233870962</v>
      </c>
      <c r="K15" s="384">
        <v>1</v>
      </c>
      <c r="L15" s="231" t="s">
        <v>63</v>
      </c>
      <c r="M15" s="355">
        <v>21000</v>
      </c>
      <c r="N15" s="233" t="s">
        <v>105</v>
      </c>
      <c r="O15" s="223" t="s">
        <v>189</v>
      </c>
      <c r="P15" s="223" t="s">
        <v>106</v>
      </c>
      <c r="Q15" s="223" t="s">
        <v>107</v>
      </c>
      <c r="R15" s="75"/>
    </row>
    <row r="16" spans="1:18" s="58" customFormat="1" ht="89.1" customHeight="1">
      <c r="A16" s="221" t="s">
        <v>99</v>
      </c>
      <c r="B16" s="222">
        <v>43111</v>
      </c>
      <c r="C16" s="357" t="s">
        <v>957</v>
      </c>
      <c r="D16" s="224" t="s">
        <v>108</v>
      </c>
      <c r="E16" s="225" t="s">
        <v>806</v>
      </c>
      <c r="F16" s="284">
        <v>24800000</v>
      </c>
      <c r="G16" s="284">
        <f>931098.42+1596418.12+1663298.19+2467654.78+1922997.89+4578490.3+1550561.12+581445.34+3690414.92+2325046.26+3492574.66</f>
        <v>24799999.999999996</v>
      </c>
      <c r="H16" s="289">
        <f>F16-G16</f>
        <v>0</v>
      </c>
      <c r="I16" s="229" t="s">
        <v>104</v>
      </c>
      <c r="J16" s="230">
        <f>G16/F16</f>
        <v>0.99999999999999989</v>
      </c>
      <c r="K16" s="385">
        <v>1</v>
      </c>
      <c r="L16" s="231" t="s">
        <v>63</v>
      </c>
      <c r="M16" s="355">
        <v>21000</v>
      </c>
      <c r="N16" s="285" t="s">
        <v>105</v>
      </c>
      <c r="O16" s="223" t="s">
        <v>189</v>
      </c>
      <c r="P16" s="223" t="s">
        <v>106</v>
      </c>
      <c r="Q16" s="223" t="s">
        <v>109</v>
      </c>
      <c r="R16" s="75"/>
    </row>
    <row r="17" spans="1:18" s="58" customFormat="1" ht="89.1" customHeight="1">
      <c r="A17" s="221" t="s">
        <v>99</v>
      </c>
      <c r="B17" s="222">
        <v>43110</v>
      </c>
      <c r="C17" s="357" t="s">
        <v>958</v>
      </c>
      <c r="D17" s="224" t="s">
        <v>110</v>
      </c>
      <c r="E17" s="225" t="s">
        <v>111</v>
      </c>
      <c r="F17" s="284">
        <v>19800000</v>
      </c>
      <c r="G17" s="284">
        <f>5891138.1+3834353.11+1923677.03+2785494.18+1805412.9+2027805.98+644913.46+576581.64+310623.59</f>
        <v>19799999.989999998</v>
      </c>
      <c r="H17" s="289">
        <f>F17-G17</f>
        <v>1.0000001639127731E-2</v>
      </c>
      <c r="I17" s="229" t="s">
        <v>104</v>
      </c>
      <c r="J17" s="230">
        <f>G17/F17</f>
        <v>0.99999999949494944</v>
      </c>
      <c r="K17" s="385">
        <v>1</v>
      </c>
      <c r="L17" s="213" t="s">
        <v>37</v>
      </c>
      <c r="M17" s="356">
        <v>1</v>
      </c>
      <c r="N17" s="285" t="s">
        <v>105</v>
      </c>
      <c r="O17" s="223" t="s">
        <v>189</v>
      </c>
      <c r="P17" s="251" t="s">
        <v>112</v>
      </c>
      <c r="Q17" s="223" t="s">
        <v>113</v>
      </c>
      <c r="R17" s="75"/>
    </row>
    <row r="18" spans="1:18" s="58" customFormat="1" ht="89.1" customHeight="1">
      <c r="A18" s="221" t="s">
        <v>99</v>
      </c>
      <c r="B18" s="222">
        <v>43111</v>
      </c>
      <c r="C18" s="357" t="s">
        <v>959</v>
      </c>
      <c r="D18" s="357" t="s">
        <v>174</v>
      </c>
      <c r="E18" s="225" t="s">
        <v>125</v>
      </c>
      <c r="F18" s="358">
        <v>527623.46</v>
      </c>
      <c r="G18" s="284">
        <f>51849.22+120632+95705.01+180982.01+38385.99+32477.77</f>
        <v>520032</v>
      </c>
      <c r="H18" s="289">
        <f>F18-G18</f>
        <v>7591.4599999999627</v>
      </c>
      <c r="I18" s="229" t="s">
        <v>104</v>
      </c>
      <c r="J18" s="230">
        <v>1</v>
      </c>
      <c r="K18" s="385">
        <v>1</v>
      </c>
      <c r="L18" s="213" t="s">
        <v>37</v>
      </c>
      <c r="M18" s="356">
        <v>1</v>
      </c>
      <c r="N18" s="285" t="s">
        <v>105</v>
      </c>
      <c r="O18" s="223" t="s">
        <v>175</v>
      </c>
      <c r="P18" s="251" t="s">
        <v>176</v>
      </c>
      <c r="Q18" s="223" t="s">
        <v>177</v>
      </c>
      <c r="R18" s="75"/>
    </row>
    <row r="19" spans="1:18" s="58" customFormat="1" ht="24.75" customHeight="1">
      <c r="A19" s="359"/>
      <c r="B19" s="360"/>
      <c r="C19" s="361"/>
      <c r="D19" s="361"/>
      <c r="E19" s="671" t="s">
        <v>391</v>
      </c>
      <c r="F19" s="671"/>
      <c r="G19" s="362">
        <v>69997.62</v>
      </c>
      <c r="H19" s="363"/>
      <c r="I19" s="364"/>
      <c r="J19" s="365"/>
      <c r="K19" s="366"/>
      <c r="L19" s="282"/>
      <c r="M19" s="367"/>
      <c r="N19" s="368"/>
      <c r="O19" s="369"/>
      <c r="P19" s="369"/>
      <c r="Q19" s="369"/>
      <c r="R19" s="75"/>
    </row>
    <row r="20" spans="1:18" s="58" customFormat="1" ht="16.5" customHeight="1" thickBot="1">
      <c r="A20" s="370"/>
      <c r="B20" s="370"/>
      <c r="C20" s="370"/>
      <c r="D20" s="370"/>
      <c r="E20" s="371"/>
      <c r="F20" s="372"/>
      <c r="G20" s="362"/>
      <c r="H20" s="363"/>
      <c r="I20" s="364"/>
      <c r="J20" s="373"/>
      <c r="K20" s="374"/>
      <c r="L20" s="375"/>
      <c r="M20" s="264"/>
      <c r="N20" s="368"/>
      <c r="O20" s="369"/>
      <c r="P20" s="369"/>
      <c r="Q20" s="369"/>
    </row>
    <row r="21" spans="1:18" s="58" customFormat="1" ht="31.5" customHeight="1" thickTop="1" thickBot="1">
      <c r="A21" s="359"/>
      <c r="B21" s="360"/>
      <c r="C21" s="476"/>
      <c r="D21" s="376"/>
      <c r="E21" s="259" t="s">
        <v>89</v>
      </c>
      <c r="F21" s="283">
        <f>SUM(F15:F18)</f>
        <v>69927623.459999993</v>
      </c>
      <c r="G21" s="283">
        <f>SUM(G15:G19)</f>
        <v>69990029.420000002</v>
      </c>
      <c r="H21" s="377">
        <f>SUM(H15:H19)</f>
        <v>7591.660000002943</v>
      </c>
      <c r="I21" s="374"/>
      <c r="J21" s="378"/>
      <c r="K21" s="379"/>
      <c r="L21" s="380"/>
      <c r="M21" s="264"/>
      <c r="N21" s="381"/>
      <c r="O21" s="382"/>
      <c r="P21" s="383"/>
      <c r="Q21" s="369"/>
    </row>
    <row r="22" spans="1:18" s="58" customFormat="1" ht="13.5" customHeight="1" thickTop="1">
      <c r="A22" s="664"/>
      <c r="B22" s="664"/>
      <c r="C22" s="664"/>
      <c r="D22" s="664"/>
      <c r="E22" s="664"/>
      <c r="F22" s="57"/>
      <c r="G22" s="83"/>
      <c r="H22" s="84"/>
      <c r="I22" s="101"/>
      <c r="J22" s="87"/>
      <c r="K22" s="87"/>
      <c r="L22" s="98"/>
      <c r="M22" s="89"/>
      <c r="N22" s="99"/>
      <c r="O22" s="91"/>
      <c r="P22" s="91"/>
      <c r="Q22" s="91"/>
    </row>
    <row r="23" spans="1:18">
      <c r="A23" s="56" t="s">
        <v>91</v>
      </c>
      <c r="F23" s="59"/>
      <c r="G23" s="60"/>
      <c r="L23" s="59"/>
      <c r="M23" s="102"/>
    </row>
    <row r="25" spans="1:18">
      <c r="E25" s="3"/>
      <c r="F25" s="3"/>
      <c r="G25" s="3"/>
    </row>
  </sheetData>
  <mergeCells count="13">
    <mergeCell ref="C2:Q2"/>
    <mergeCell ref="C6:Q6"/>
    <mergeCell ref="C5:Q5"/>
    <mergeCell ref="L14:M14"/>
    <mergeCell ref="E19:F19"/>
    <mergeCell ref="C3:Q3"/>
    <mergeCell ref="A22:E22"/>
    <mergeCell ref="A10:B10"/>
    <mergeCell ref="A4:A6"/>
    <mergeCell ref="A8:B8"/>
    <mergeCell ref="A9:B9"/>
    <mergeCell ref="A11:B11"/>
    <mergeCell ref="C4:Q4"/>
  </mergeCells>
  <pageMargins left="0.31496062992125984" right="0.31496062992125984" top="0.74803149606299213" bottom="0.74803149606299213" header="0.31496062992125984" footer="0.31496062992125984"/>
  <pageSetup scale="47"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workbookViewId="0">
      <selection activeCell="G5" sqref="G5"/>
    </sheetView>
  </sheetViews>
  <sheetFormatPr baseColWidth="10" defaultRowHeight="15"/>
  <cols>
    <col min="1" max="1" width="12.7109375" customWidth="1"/>
    <col min="2" max="2" width="12" customWidth="1"/>
    <col min="3" max="4" width="16.7109375" customWidth="1"/>
    <col min="5" max="5" width="37.85546875" customWidth="1"/>
    <col min="6" max="6" width="12.7109375" customWidth="1"/>
    <col min="7" max="7" width="14.140625" customWidth="1"/>
    <col min="8" max="8" width="9.85546875" customWidth="1"/>
    <col min="9" max="9" width="14" customWidth="1"/>
    <col min="10" max="10" width="9.85546875" customWidth="1"/>
    <col min="11" max="11" width="6.85546875" customWidth="1"/>
    <col min="12" max="12" width="7.140625" customWidth="1"/>
    <col min="13" max="13" width="8.42578125" customWidth="1"/>
    <col min="14" max="14" width="8.85546875" customWidth="1"/>
    <col min="16" max="16" width="17.7109375" customWidth="1"/>
    <col min="17" max="17" width="14.5703125" customWidth="1"/>
  </cols>
  <sheetData>
    <row r="1" spans="1:18" ht="20.25" customHeight="1">
      <c r="A1" s="661"/>
      <c r="B1" s="784" t="s">
        <v>1317</v>
      </c>
      <c r="C1" s="784"/>
      <c r="D1" s="784"/>
      <c r="E1" s="784"/>
      <c r="F1" s="784"/>
      <c r="G1" s="784"/>
      <c r="H1" s="784"/>
      <c r="I1" s="784"/>
      <c r="J1" s="784"/>
      <c r="K1" s="784"/>
      <c r="L1" s="784"/>
      <c r="M1" s="784"/>
      <c r="N1" s="784"/>
      <c r="O1" s="784"/>
      <c r="P1" s="784"/>
      <c r="Q1" s="784"/>
    </row>
    <row r="2" spans="1:18" ht="20.25" customHeight="1">
      <c r="A2" s="661"/>
      <c r="B2" s="784" t="s">
        <v>1323</v>
      </c>
      <c r="C2" s="784"/>
      <c r="D2" s="784"/>
      <c r="E2" s="784"/>
      <c r="F2" s="784"/>
      <c r="G2" s="784"/>
      <c r="H2" s="784"/>
      <c r="I2" s="784"/>
      <c r="J2" s="784"/>
      <c r="K2" s="784"/>
      <c r="L2" s="784"/>
      <c r="M2" s="784"/>
      <c r="N2" s="784"/>
      <c r="O2" s="784"/>
      <c r="P2" s="784"/>
      <c r="Q2" s="784"/>
    </row>
    <row r="3" spans="1:18" ht="19.5" customHeight="1">
      <c r="A3" s="661"/>
      <c r="B3" s="784" t="s">
        <v>803</v>
      </c>
      <c r="C3" s="784"/>
      <c r="D3" s="784"/>
      <c r="E3" s="784"/>
      <c r="F3" s="784"/>
      <c r="G3" s="784"/>
      <c r="H3" s="784"/>
      <c r="I3" s="784"/>
      <c r="J3" s="784"/>
      <c r="K3" s="784"/>
      <c r="L3" s="784"/>
      <c r="M3" s="784"/>
      <c r="N3" s="784"/>
      <c r="O3" s="784"/>
      <c r="P3" s="784"/>
      <c r="Q3" s="784"/>
    </row>
    <row r="4" spans="1:18" ht="40.5" customHeight="1">
      <c r="A4" s="661"/>
      <c r="B4" s="668" t="s">
        <v>542</v>
      </c>
      <c r="C4" s="668"/>
      <c r="D4" s="668"/>
      <c r="E4" s="668"/>
      <c r="F4" s="668"/>
      <c r="G4" s="668"/>
      <c r="H4" s="668"/>
      <c r="I4" s="668"/>
      <c r="J4" s="668"/>
      <c r="K4" s="668"/>
      <c r="L4" s="668"/>
      <c r="M4" s="668"/>
      <c r="N4" s="668"/>
      <c r="O4" s="668"/>
      <c r="P4" s="668"/>
      <c r="Q4" s="668"/>
    </row>
    <row r="5" spans="1:18" ht="19.5" thickBot="1">
      <c r="G5" s="185" t="s">
        <v>1318</v>
      </c>
    </row>
    <row r="6" spans="1:18" ht="18.95" customHeight="1">
      <c r="A6" s="680" t="s">
        <v>92</v>
      </c>
      <c r="B6" s="681"/>
      <c r="C6" s="386">
        <v>1579980.51</v>
      </c>
      <c r="G6" s="13"/>
    </row>
    <row r="7" spans="1:18" ht="18.95" customHeight="1">
      <c r="A7" s="676" t="s">
        <v>842</v>
      </c>
      <c r="B7" s="677"/>
      <c r="C7" s="387">
        <f>F17</f>
        <v>1579980.53</v>
      </c>
      <c r="F7" s="151"/>
      <c r="G7" s="151"/>
    </row>
    <row r="8" spans="1:18" ht="18.95" customHeight="1">
      <c r="A8" s="676" t="s">
        <v>5</v>
      </c>
      <c r="B8" s="677"/>
      <c r="C8" s="387">
        <f>G17</f>
        <v>1579980.46</v>
      </c>
      <c r="F8" s="151"/>
      <c r="G8" s="151"/>
    </row>
    <row r="9" spans="1:18" ht="18.95" customHeight="1" thickBot="1">
      <c r="A9" s="678" t="s">
        <v>13</v>
      </c>
      <c r="B9" s="679"/>
      <c r="C9" s="388">
        <f>C6-C8</f>
        <v>5.0000000046566129E-2</v>
      </c>
      <c r="J9" s="13"/>
      <c r="N9" s="16"/>
      <c r="O9" s="139"/>
    </row>
    <row r="10" spans="1:18" ht="18.95" customHeight="1">
      <c r="B10" s="336"/>
      <c r="C10" s="336"/>
      <c r="D10" s="336"/>
      <c r="E10" s="335"/>
      <c r="J10" s="13"/>
      <c r="N10" s="16"/>
      <c r="O10" s="139"/>
    </row>
    <row r="11" spans="1:18" ht="15" customHeight="1" thickBot="1">
      <c r="G11" s="61"/>
      <c r="I11" s="62"/>
      <c r="L11" s="13"/>
      <c r="P11" s="16"/>
      <c r="Q11" s="139" t="s">
        <v>1039</v>
      </c>
    </row>
    <row r="12" spans="1:18" s="58" customFormat="1" ht="16.5" thickTop="1" thickBot="1">
      <c r="A12" s="63"/>
      <c r="B12" s="63"/>
      <c r="C12" s="63"/>
      <c r="D12" s="63"/>
      <c r="E12" s="63"/>
      <c r="F12" s="64" t="s">
        <v>14</v>
      </c>
      <c r="G12" s="66" t="s">
        <v>15</v>
      </c>
      <c r="H12" s="176" t="s">
        <v>16</v>
      </c>
      <c r="I12" s="68"/>
      <c r="O12" s="69"/>
    </row>
    <row r="13" spans="1:18" s="220" customFormat="1" ht="37.5" customHeight="1" thickTop="1" thickBot="1">
      <c r="A13" s="237" t="s">
        <v>17</v>
      </c>
      <c r="B13" s="238" t="s">
        <v>18</v>
      </c>
      <c r="C13" s="71" t="s">
        <v>19</v>
      </c>
      <c r="D13" s="238" t="s">
        <v>94</v>
      </c>
      <c r="E13" s="238" t="s">
        <v>22</v>
      </c>
      <c r="F13" s="239" t="s">
        <v>23</v>
      </c>
      <c r="G13" s="240" t="s">
        <v>23</v>
      </c>
      <c r="H13" s="239" t="s">
        <v>23</v>
      </c>
      <c r="I13" s="238" t="s">
        <v>25</v>
      </c>
      <c r="J13" s="238" t="s">
        <v>96</v>
      </c>
      <c r="K13" s="238" t="s">
        <v>97</v>
      </c>
      <c r="L13" s="672" t="s">
        <v>28</v>
      </c>
      <c r="M13" s="673"/>
      <c r="N13" s="238" t="s">
        <v>29</v>
      </c>
      <c r="O13" s="238" t="s">
        <v>98</v>
      </c>
      <c r="P13" s="238" t="s">
        <v>31</v>
      </c>
      <c r="Q13" s="241" t="s">
        <v>32</v>
      </c>
    </row>
    <row r="14" spans="1:18" s="236" customFormat="1" ht="99" customHeight="1">
      <c r="A14" s="221" t="s">
        <v>99</v>
      </c>
      <c r="B14" s="222">
        <v>43244</v>
      </c>
      <c r="C14" s="357" t="s">
        <v>960</v>
      </c>
      <c r="D14" s="224" t="s">
        <v>392</v>
      </c>
      <c r="E14" s="225" t="s">
        <v>393</v>
      </c>
      <c r="F14" s="226">
        <v>1578400.53</v>
      </c>
      <c r="G14" s="227">
        <f>409960.24+260505.53+572252.38+324511.01+11171.3</f>
        <v>1578400.46</v>
      </c>
      <c r="H14" s="228">
        <f>F14-G14</f>
        <v>7.000000006519258E-2</v>
      </c>
      <c r="I14" s="229" t="s">
        <v>104</v>
      </c>
      <c r="J14" s="230">
        <f>G14/F14</f>
        <v>0.99999995565130728</v>
      </c>
      <c r="K14" s="242">
        <v>1</v>
      </c>
      <c r="L14" s="231" t="s">
        <v>63</v>
      </c>
      <c r="M14" s="232">
        <v>876.86</v>
      </c>
      <c r="N14" s="233" t="s">
        <v>394</v>
      </c>
      <c r="O14" s="234" t="s">
        <v>800</v>
      </c>
      <c r="P14" s="223" t="s">
        <v>801</v>
      </c>
      <c r="Q14" s="223" t="s">
        <v>802</v>
      </c>
      <c r="R14" s="235"/>
    </row>
    <row r="15" spans="1:18" s="58" customFormat="1" ht="24.75" customHeight="1">
      <c r="A15" s="92"/>
      <c r="B15" s="93"/>
      <c r="C15" s="153"/>
      <c r="D15" s="153"/>
      <c r="E15" s="674" t="s">
        <v>391</v>
      </c>
      <c r="F15" s="674"/>
      <c r="G15" s="82">
        <v>1580</v>
      </c>
      <c r="H15" s="85"/>
      <c r="I15" s="86"/>
      <c r="J15" s="155"/>
      <c r="K15" s="156"/>
      <c r="L15" s="88"/>
      <c r="M15" s="157"/>
      <c r="N15" s="90"/>
      <c r="O15" s="158"/>
      <c r="P15" s="91"/>
      <c r="Q15" s="91"/>
      <c r="R15" s="75"/>
    </row>
    <row r="16" spans="1:18" s="58" customFormat="1" ht="16.5" customHeight="1" thickBot="1">
      <c r="A16" s="77"/>
      <c r="B16" s="77"/>
      <c r="C16" s="77"/>
      <c r="D16" s="77"/>
      <c r="E16" s="78"/>
      <c r="F16" s="79"/>
      <c r="G16" s="82"/>
      <c r="H16" s="85"/>
      <c r="I16" s="86"/>
      <c r="J16" s="107"/>
      <c r="K16" s="87"/>
      <c r="L16" s="159"/>
      <c r="M16" s="89"/>
      <c r="N16" s="90"/>
      <c r="O16" s="91"/>
      <c r="P16" s="91"/>
      <c r="Q16" s="91"/>
    </row>
    <row r="17" spans="1:17" s="58" customFormat="1" ht="31.5" customHeight="1" thickTop="1" thickBot="1">
      <c r="A17" s="92"/>
      <c r="B17" s="93"/>
      <c r="C17" s="106"/>
      <c r="D17" s="94"/>
      <c r="E17" s="259" t="s">
        <v>89</v>
      </c>
      <c r="F17" s="283">
        <f>F14+G15</f>
        <v>1579980.53</v>
      </c>
      <c r="G17" s="283">
        <f>SUM(G14:G15)</f>
        <v>1579980.46</v>
      </c>
      <c r="H17" s="377">
        <f>SUM(H14:H15)</f>
        <v>7.000000006519258E-2</v>
      </c>
      <c r="I17" s="87"/>
      <c r="J17" s="108"/>
      <c r="K17" s="97"/>
      <c r="L17" s="98"/>
      <c r="M17" s="89"/>
      <c r="N17" s="99"/>
      <c r="O17" s="100"/>
      <c r="P17" s="109"/>
      <c r="Q17" s="91"/>
    </row>
    <row r="18" spans="1:17" s="58" customFormat="1" ht="13.5" customHeight="1" thickTop="1">
      <c r="A18" s="664"/>
      <c r="B18" s="664"/>
      <c r="C18" s="664"/>
      <c r="D18" s="664"/>
      <c r="E18" s="675"/>
      <c r="F18" s="57"/>
      <c r="G18" s="83"/>
      <c r="H18" s="84"/>
      <c r="I18" s="101"/>
      <c r="J18" s="87"/>
      <c r="K18" s="87"/>
      <c r="L18" s="98"/>
      <c r="M18" s="89"/>
      <c r="N18" s="99"/>
      <c r="O18" s="91"/>
      <c r="P18" s="91"/>
      <c r="Q18" s="91"/>
    </row>
    <row r="19" spans="1:17">
      <c r="A19" s="56" t="s">
        <v>91</v>
      </c>
      <c r="G19" s="60"/>
      <c r="L19" s="59"/>
      <c r="M19" s="102"/>
    </row>
    <row r="24" spans="1:17">
      <c r="C24" s="59"/>
      <c r="D24" s="59"/>
    </row>
  </sheetData>
  <mergeCells count="12">
    <mergeCell ref="B3:Q3"/>
    <mergeCell ref="B2:Q2"/>
    <mergeCell ref="L13:M13"/>
    <mergeCell ref="E15:F15"/>
    <mergeCell ref="B4:Q4"/>
    <mergeCell ref="A18:E18"/>
    <mergeCell ref="A1:A4"/>
    <mergeCell ref="A8:B8"/>
    <mergeCell ref="A9:B9"/>
    <mergeCell ref="A6:B6"/>
    <mergeCell ref="A7:B7"/>
    <mergeCell ref="B1:Q1"/>
  </mergeCells>
  <pageMargins left="0.31496062992125984" right="0.31496062992125984" top="0.74803149606299213" bottom="0.74803149606299213" header="0.31496062992125984" footer="0.31496062992125984"/>
  <pageSetup scale="57"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workbookViewId="0">
      <selection activeCell="C1" sqref="C1:U3"/>
    </sheetView>
  </sheetViews>
  <sheetFormatPr baseColWidth="10" defaultRowHeight="15"/>
  <cols>
    <col min="3" max="3" width="14.28515625" customWidth="1"/>
    <col min="4" max="4" width="7.5703125" hidden="1" customWidth="1"/>
    <col min="6" max="6" width="33" customWidth="1"/>
    <col min="7" max="7" width="13.85546875" customWidth="1"/>
    <col min="8" max="8" width="0" hidden="1" customWidth="1"/>
    <col min="9" max="9" width="12.7109375" customWidth="1"/>
    <col min="10" max="10" width="0" hidden="1" customWidth="1"/>
    <col min="12" max="12" width="0" hidden="1" customWidth="1"/>
    <col min="13" max="13" width="14.7109375" customWidth="1"/>
    <col min="14" max="14" width="16.7109375" customWidth="1"/>
    <col min="15" max="15" width="8.42578125" customWidth="1"/>
    <col min="19" max="19" width="16.140625" customWidth="1"/>
  </cols>
  <sheetData>
    <row r="1" spans="1:21" ht="17.25" customHeight="1">
      <c r="A1" s="661"/>
      <c r="B1" s="661"/>
      <c r="C1" s="785" t="s">
        <v>1317</v>
      </c>
      <c r="D1" s="785"/>
      <c r="E1" s="785"/>
      <c r="F1" s="785"/>
      <c r="G1" s="785"/>
      <c r="H1" s="785"/>
      <c r="I1" s="785"/>
      <c r="J1" s="785"/>
      <c r="K1" s="785"/>
      <c r="L1" s="785"/>
      <c r="M1" s="785"/>
      <c r="N1" s="785"/>
      <c r="O1" s="785"/>
      <c r="P1" s="785"/>
      <c r="Q1" s="785"/>
      <c r="R1" s="785"/>
      <c r="S1" s="785"/>
      <c r="T1" s="785"/>
      <c r="U1" s="785"/>
    </row>
    <row r="2" spans="1:21" ht="18.75" customHeight="1">
      <c r="A2" s="661"/>
      <c r="B2" s="661"/>
      <c r="C2" s="785" t="s">
        <v>1324</v>
      </c>
      <c r="D2" s="785"/>
      <c r="E2" s="785"/>
      <c r="F2" s="785"/>
      <c r="G2" s="785"/>
      <c r="H2" s="785"/>
      <c r="I2" s="785"/>
      <c r="J2" s="785"/>
      <c r="K2" s="785"/>
      <c r="L2" s="785"/>
      <c r="M2" s="785"/>
      <c r="N2" s="785"/>
      <c r="O2" s="785"/>
      <c r="P2" s="785"/>
      <c r="Q2" s="785"/>
      <c r="R2" s="785"/>
      <c r="S2" s="785"/>
      <c r="T2" s="785"/>
      <c r="U2" s="785"/>
    </row>
    <row r="3" spans="1:21" ht="19.5" customHeight="1">
      <c r="A3" s="661"/>
      <c r="B3" s="661"/>
      <c r="C3" s="784" t="s">
        <v>1035</v>
      </c>
      <c r="D3" s="784"/>
      <c r="E3" s="784"/>
      <c r="F3" s="784"/>
      <c r="G3" s="784"/>
      <c r="H3" s="784"/>
      <c r="I3" s="784"/>
      <c r="J3" s="784"/>
      <c r="K3" s="784"/>
      <c r="L3" s="784"/>
      <c r="M3" s="784"/>
      <c r="N3" s="784"/>
      <c r="O3" s="784"/>
      <c r="P3" s="784"/>
      <c r="Q3" s="784"/>
      <c r="R3" s="784"/>
      <c r="S3" s="784"/>
      <c r="T3" s="784"/>
      <c r="U3" s="784"/>
    </row>
    <row r="4" spans="1:21" ht="40.5" customHeight="1">
      <c r="A4" s="661"/>
      <c r="B4" s="661"/>
      <c r="C4" s="668" t="s">
        <v>124</v>
      </c>
      <c r="D4" s="668"/>
      <c r="E4" s="668"/>
      <c r="F4" s="668"/>
      <c r="G4" s="668"/>
      <c r="H4" s="668"/>
      <c r="I4" s="668"/>
      <c r="J4" s="668"/>
      <c r="K4" s="668"/>
      <c r="L4" s="668"/>
      <c r="M4" s="668"/>
      <c r="N4" s="668"/>
      <c r="O4" s="668"/>
      <c r="P4" s="668"/>
      <c r="Q4" s="668"/>
      <c r="R4" s="668"/>
      <c r="S4" s="668"/>
      <c r="T4" s="668"/>
      <c r="U4" s="668"/>
    </row>
    <row r="5" spans="1:21" ht="19.5" thickBot="1">
      <c r="A5" s="13"/>
      <c r="I5" s="13"/>
      <c r="K5" s="786" t="s">
        <v>1318</v>
      </c>
      <c r="L5" s="786"/>
      <c r="M5" s="786"/>
      <c r="N5" s="786"/>
    </row>
    <row r="6" spans="1:21" ht="20.100000000000001" customHeight="1">
      <c r="A6" s="685" t="s">
        <v>92</v>
      </c>
      <c r="B6" s="686"/>
      <c r="C6" s="689">
        <v>8800000</v>
      </c>
      <c r="D6" s="690"/>
      <c r="E6" s="691"/>
      <c r="F6" s="121"/>
      <c r="I6" s="13"/>
      <c r="K6" s="13"/>
    </row>
    <row r="7" spans="1:21" ht="20.100000000000001" customHeight="1">
      <c r="A7" s="683" t="s">
        <v>842</v>
      </c>
      <c r="B7" s="684"/>
      <c r="C7" s="692">
        <f>G17</f>
        <v>8791200</v>
      </c>
      <c r="D7" s="693"/>
      <c r="E7" s="694"/>
      <c r="F7" s="121"/>
      <c r="G7" s="4"/>
      <c r="H7" s="4"/>
      <c r="I7" s="4"/>
      <c r="J7" s="4"/>
      <c r="K7" s="4"/>
      <c r="L7" s="4"/>
    </row>
    <row r="8" spans="1:21" ht="20.100000000000001" customHeight="1">
      <c r="A8" s="683" t="s">
        <v>5</v>
      </c>
      <c r="B8" s="684"/>
      <c r="C8" s="692">
        <f>I17+I15</f>
        <v>8800000</v>
      </c>
      <c r="D8" s="693"/>
      <c r="E8" s="694"/>
      <c r="F8" s="121"/>
      <c r="G8" s="4"/>
      <c r="H8" s="4"/>
      <c r="I8" s="4"/>
      <c r="J8" s="4"/>
      <c r="K8" s="4"/>
      <c r="L8" s="4"/>
    </row>
    <row r="9" spans="1:21" ht="20.100000000000001" customHeight="1" thickBot="1">
      <c r="A9" s="687" t="s">
        <v>13</v>
      </c>
      <c r="B9" s="688"/>
      <c r="C9" s="695">
        <f>C8-C6</f>
        <v>0</v>
      </c>
      <c r="D9" s="696"/>
      <c r="E9" s="697"/>
      <c r="M9" s="62"/>
      <c r="P9" s="13"/>
      <c r="T9" s="16"/>
    </row>
    <row r="10" spans="1:21" ht="15" customHeight="1" thickBot="1">
      <c r="A10" s="179"/>
      <c r="B10" s="179"/>
      <c r="M10" s="62"/>
      <c r="P10" s="13"/>
      <c r="T10" s="16"/>
      <c r="U10" s="123" t="s">
        <v>1039</v>
      </c>
    </row>
    <row r="11" spans="1:21" s="58" customFormat="1" ht="16.5" thickTop="1" thickBot="1">
      <c r="A11" s="63"/>
      <c r="B11" s="63"/>
      <c r="C11" s="63"/>
      <c r="D11" s="63"/>
      <c r="E11" s="63"/>
      <c r="F11" s="63"/>
      <c r="G11" s="64" t="s">
        <v>14</v>
      </c>
      <c r="H11" s="65"/>
      <c r="I11" s="66" t="s">
        <v>15</v>
      </c>
      <c r="J11" s="65"/>
      <c r="K11" s="103" t="s">
        <v>16</v>
      </c>
      <c r="L11" s="104"/>
      <c r="M11" s="68"/>
      <c r="S11" s="69"/>
    </row>
    <row r="12" spans="1:21" s="58" customFormat="1" ht="37.5" customHeight="1" thickTop="1" thickBot="1">
      <c r="A12" s="70" t="s">
        <v>17</v>
      </c>
      <c r="B12" s="71" t="s">
        <v>18</v>
      </c>
      <c r="C12" s="71" t="s">
        <v>19</v>
      </c>
      <c r="D12" s="71" t="s">
        <v>93</v>
      </c>
      <c r="E12" s="71" t="s">
        <v>94</v>
      </c>
      <c r="F12" s="71" t="s">
        <v>22</v>
      </c>
      <c r="G12" s="72" t="s">
        <v>23</v>
      </c>
      <c r="H12" s="72" t="s">
        <v>115</v>
      </c>
      <c r="I12" s="72" t="s">
        <v>23</v>
      </c>
      <c r="J12" s="72" t="s">
        <v>115</v>
      </c>
      <c r="K12" s="72" t="s">
        <v>23</v>
      </c>
      <c r="L12" s="71" t="s">
        <v>115</v>
      </c>
      <c r="M12" s="71" t="s">
        <v>25</v>
      </c>
      <c r="N12" s="71" t="s">
        <v>96</v>
      </c>
      <c r="O12" s="71" t="s">
        <v>97</v>
      </c>
      <c r="P12" s="669" t="s">
        <v>28</v>
      </c>
      <c r="Q12" s="670"/>
      <c r="R12" s="71" t="s">
        <v>29</v>
      </c>
      <c r="S12" s="71" t="s">
        <v>98</v>
      </c>
      <c r="T12" s="71" t="s">
        <v>31</v>
      </c>
      <c r="U12" s="74" t="s">
        <v>32</v>
      </c>
    </row>
    <row r="13" spans="1:21" s="236" customFormat="1" ht="99" customHeight="1">
      <c r="A13" s="389" t="s">
        <v>99</v>
      </c>
      <c r="B13" s="390">
        <v>43067</v>
      </c>
      <c r="C13" s="391" t="s">
        <v>199</v>
      </c>
      <c r="D13" s="392" t="s">
        <v>101</v>
      </c>
      <c r="E13" s="393" t="s">
        <v>116</v>
      </c>
      <c r="F13" s="394" t="s">
        <v>932</v>
      </c>
      <c r="G13" s="201">
        <f t="shared" ref="G13:G14" si="0">H13</f>
        <v>4995000</v>
      </c>
      <c r="H13" s="201">
        <v>4995000</v>
      </c>
      <c r="I13" s="201">
        <v>4995000</v>
      </c>
      <c r="J13" s="201">
        <f>2399680.33+2595320</f>
        <v>4995000.33</v>
      </c>
      <c r="K13" s="201">
        <f>L13</f>
        <v>-0.33000000007450581</v>
      </c>
      <c r="L13" s="395">
        <f>H13-J13</f>
        <v>-0.33000000007450581</v>
      </c>
      <c r="M13" s="396" t="s">
        <v>104</v>
      </c>
      <c r="N13" s="582">
        <f>I13/G13</f>
        <v>1</v>
      </c>
      <c r="O13" s="582">
        <v>0.87</v>
      </c>
      <c r="P13" s="204" t="s">
        <v>63</v>
      </c>
      <c r="Q13" s="203">
        <v>1485</v>
      </c>
      <c r="R13" s="397" t="s">
        <v>117</v>
      </c>
      <c r="S13" s="398" t="s">
        <v>118</v>
      </c>
      <c r="T13" s="391" t="s">
        <v>119</v>
      </c>
      <c r="U13" s="399" t="s">
        <v>930</v>
      </c>
    </row>
    <row r="14" spans="1:21" s="236" customFormat="1" ht="99" customHeight="1" thickBot="1">
      <c r="A14" s="400" t="s">
        <v>99</v>
      </c>
      <c r="B14" s="401">
        <v>43084</v>
      </c>
      <c r="C14" s="402" t="s">
        <v>200</v>
      </c>
      <c r="D14" s="403" t="s">
        <v>101</v>
      </c>
      <c r="E14" s="404" t="s">
        <v>120</v>
      </c>
      <c r="F14" s="405" t="s">
        <v>121</v>
      </c>
      <c r="G14" s="406">
        <f t="shared" si="0"/>
        <v>3796200</v>
      </c>
      <c r="H14" s="406">
        <v>3796200</v>
      </c>
      <c r="I14" s="406">
        <v>3796200</v>
      </c>
      <c r="J14" s="406">
        <f>1068034.71+2728165</f>
        <v>3796199.71</v>
      </c>
      <c r="K14" s="406">
        <f>L14</f>
        <v>0.2900000000372529</v>
      </c>
      <c r="L14" s="407">
        <f>H14-J14</f>
        <v>0.2900000000372529</v>
      </c>
      <c r="M14" s="408" t="s">
        <v>104</v>
      </c>
      <c r="N14" s="583">
        <f>I14/G14</f>
        <v>1</v>
      </c>
      <c r="O14" s="583">
        <v>0.98</v>
      </c>
      <c r="P14" s="409" t="s">
        <v>63</v>
      </c>
      <c r="Q14" s="410">
        <v>1979.15</v>
      </c>
      <c r="R14" s="411" t="s">
        <v>122</v>
      </c>
      <c r="S14" s="412" t="s">
        <v>118</v>
      </c>
      <c r="T14" s="402" t="s">
        <v>123</v>
      </c>
      <c r="U14" s="413" t="s">
        <v>931</v>
      </c>
    </row>
    <row r="15" spans="1:21" s="58" customFormat="1" ht="27" customHeight="1">
      <c r="A15" s="92"/>
      <c r="B15" s="93"/>
      <c r="C15" s="91"/>
      <c r="D15" s="76"/>
      <c r="E15" s="180"/>
      <c r="F15" s="674" t="s">
        <v>391</v>
      </c>
      <c r="G15" s="674"/>
      <c r="H15" s="57"/>
      <c r="I15" s="57">
        <v>8800</v>
      </c>
      <c r="J15" s="169"/>
      <c r="K15" s="57"/>
      <c r="L15" s="154"/>
      <c r="M15" s="86"/>
      <c r="N15" s="87"/>
      <c r="O15" s="87"/>
      <c r="P15" s="88"/>
      <c r="Q15" s="89"/>
      <c r="R15" s="90"/>
      <c r="S15" s="91"/>
      <c r="T15" s="91"/>
      <c r="U15" s="91"/>
    </row>
    <row r="16" spans="1:21" s="58" customFormat="1" ht="16.5" customHeight="1" thickBot="1">
      <c r="A16" s="682"/>
      <c r="B16" s="682"/>
      <c r="C16" s="682"/>
      <c r="D16" s="682"/>
      <c r="E16" s="682"/>
      <c r="F16" s="682"/>
      <c r="G16" s="79"/>
      <c r="H16" s="80"/>
      <c r="I16" s="83"/>
      <c r="J16" s="105"/>
      <c r="K16" s="81"/>
      <c r="L16" s="84"/>
      <c r="M16" s="101"/>
      <c r="N16" s="606">
        <f>G13+G14</f>
        <v>8791200</v>
      </c>
      <c r="O16" s="87"/>
      <c r="P16" s="88"/>
      <c r="Q16" s="89"/>
      <c r="R16" s="99"/>
      <c r="S16" s="91"/>
      <c r="T16" s="91"/>
      <c r="U16" s="91"/>
    </row>
    <row r="17" spans="1:21" s="236" customFormat="1" ht="31.5" customHeight="1" thickTop="1" thickBot="1">
      <c r="A17" s="359"/>
      <c r="B17" s="360"/>
      <c r="C17" s="369"/>
      <c r="D17" s="476"/>
      <c r="E17" s="476"/>
      <c r="F17" s="527" t="s">
        <v>89</v>
      </c>
      <c r="G17" s="427">
        <f>SUM(G13:G16)</f>
        <v>8791200</v>
      </c>
      <c r="H17" s="428">
        <f>SUM(H13:H14)</f>
        <v>8791200</v>
      </c>
      <c r="I17" s="427">
        <f>SUM(I13:I14)</f>
        <v>8791200</v>
      </c>
      <c r="J17" s="427">
        <f t="shared" ref="J17:L17" si="1">SUM(J13:J16)</f>
        <v>8791200.0399999991</v>
      </c>
      <c r="K17" s="528">
        <f t="shared" si="1"/>
        <v>-4.0000000037252903E-2</v>
      </c>
      <c r="L17" s="529">
        <f t="shared" si="1"/>
        <v>-4.0000000037252903E-2</v>
      </c>
      <c r="M17" s="374"/>
      <c r="N17" s="374"/>
      <c r="O17" s="379"/>
      <c r="P17" s="380"/>
      <c r="Q17" s="264"/>
      <c r="R17" s="381"/>
      <c r="S17" s="369"/>
      <c r="T17" s="369"/>
      <c r="U17" s="369"/>
    </row>
    <row r="18" spans="1:21" s="58" customFormat="1" ht="13.5" customHeight="1">
      <c r="A18" s="664"/>
      <c r="B18" s="664"/>
      <c r="C18" s="664"/>
      <c r="D18" s="664"/>
      <c r="E18" s="664"/>
      <c r="F18" s="664"/>
      <c r="G18" s="57"/>
      <c r="H18" s="80"/>
      <c r="I18" s="83"/>
      <c r="J18" s="105"/>
      <c r="K18" s="81"/>
      <c r="L18" s="84"/>
      <c r="M18" s="101"/>
      <c r="N18" s="87"/>
      <c r="O18" s="87"/>
      <c r="P18" s="98"/>
      <c r="Q18" s="89"/>
      <c r="R18" s="99"/>
      <c r="S18" s="91"/>
      <c r="T18" s="91"/>
      <c r="U18" s="91"/>
    </row>
    <row r="19" spans="1:21" s="58" customFormat="1" ht="12.75">
      <c r="A19" s="134"/>
      <c r="B19" s="134"/>
      <c r="C19" s="134"/>
      <c r="D19" s="134"/>
      <c r="E19" s="253"/>
      <c r="F19" s="134"/>
      <c r="G19" s="57"/>
      <c r="H19" s="80"/>
      <c r="I19" s="83"/>
      <c r="J19" s="105"/>
      <c r="K19" s="81"/>
      <c r="L19" s="84"/>
      <c r="M19" s="101"/>
      <c r="N19" s="87"/>
      <c r="O19" s="87"/>
      <c r="P19" s="98"/>
      <c r="Q19" s="89"/>
      <c r="R19" s="99"/>
      <c r="S19" s="91"/>
      <c r="T19" s="91"/>
      <c r="U19" s="91"/>
    </row>
    <row r="20" spans="1:21">
      <c r="A20" s="56" t="s">
        <v>91</v>
      </c>
      <c r="I20" s="60"/>
      <c r="J20" s="105"/>
      <c r="P20" s="59"/>
      <c r="Q20" s="102"/>
    </row>
    <row r="21" spans="1:21">
      <c r="J21" s="105"/>
    </row>
    <row r="24" spans="1:21">
      <c r="F24" s="59"/>
    </row>
  </sheetData>
  <mergeCells count="18">
    <mergeCell ref="C2:U2"/>
    <mergeCell ref="C3:U3"/>
    <mergeCell ref="K5:N5"/>
    <mergeCell ref="P12:Q12"/>
    <mergeCell ref="A16:F16"/>
    <mergeCell ref="A18:F18"/>
    <mergeCell ref="A8:B8"/>
    <mergeCell ref="A1:B4"/>
    <mergeCell ref="C4:U4"/>
    <mergeCell ref="A6:B6"/>
    <mergeCell ref="A7:B7"/>
    <mergeCell ref="A9:B9"/>
    <mergeCell ref="F15:G15"/>
    <mergeCell ref="C6:E6"/>
    <mergeCell ref="C7:E7"/>
    <mergeCell ref="C8:E8"/>
    <mergeCell ref="C9:E9"/>
    <mergeCell ref="C1:U1"/>
  </mergeCells>
  <pageMargins left="0.31496062992125984" right="0.31496062992125984" top="0.74803149606299213" bottom="0.74803149606299213" header="0.31496062992125984" footer="0.31496062992125984"/>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C29"/>
  <sheetViews>
    <sheetView workbookViewId="0">
      <selection activeCell="C2" sqref="C2:Q7"/>
    </sheetView>
  </sheetViews>
  <sheetFormatPr baseColWidth="10" defaultRowHeight="15"/>
  <cols>
    <col min="1" max="1" width="12.28515625" customWidth="1"/>
    <col min="2" max="2" width="12.5703125" customWidth="1"/>
    <col min="3" max="3" width="22.140625" customWidth="1"/>
    <col min="4" max="4" width="8.85546875" customWidth="1"/>
    <col min="5" max="5" width="35.28515625" customWidth="1"/>
    <col min="6" max="8" width="15.85546875" customWidth="1"/>
    <col min="11" max="11" width="15.140625" bestFit="1" customWidth="1"/>
    <col min="14" max="14" width="14.7109375" customWidth="1"/>
    <col min="15" max="15" width="16.140625" customWidth="1"/>
    <col min="16" max="16" width="13.5703125" customWidth="1"/>
    <col min="223" max="223" width="28.85546875" customWidth="1"/>
    <col min="225" max="226" width="0" hidden="1" customWidth="1"/>
    <col min="228" max="229" width="0" hidden="1" customWidth="1"/>
    <col min="231" max="232" width="0" hidden="1" customWidth="1"/>
    <col min="479" max="479" width="28.85546875" customWidth="1"/>
    <col min="481" max="482" width="0" hidden="1" customWidth="1"/>
    <col min="484" max="485" width="0" hidden="1" customWidth="1"/>
    <col min="487" max="488" width="0" hidden="1" customWidth="1"/>
    <col min="735" max="735" width="28.85546875" customWidth="1"/>
    <col min="737" max="738" width="0" hidden="1" customWidth="1"/>
    <col min="740" max="741" width="0" hidden="1" customWidth="1"/>
    <col min="743" max="744" width="0" hidden="1" customWidth="1"/>
    <col min="991" max="991" width="28.85546875" customWidth="1"/>
    <col min="993" max="994" width="0" hidden="1" customWidth="1"/>
    <col min="996" max="997" width="0" hidden="1" customWidth="1"/>
    <col min="999" max="1000" width="0" hidden="1" customWidth="1"/>
    <col min="1247" max="1247" width="28.85546875" customWidth="1"/>
    <col min="1249" max="1250" width="0" hidden="1" customWidth="1"/>
    <col min="1252" max="1253" width="0" hidden="1" customWidth="1"/>
    <col min="1255" max="1256" width="0" hidden="1" customWidth="1"/>
    <col min="1503" max="1503" width="28.85546875" customWidth="1"/>
    <col min="1505" max="1506" width="0" hidden="1" customWidth="1"/>
    <col min="1508" max="1509" width="0" hidden="1" customWidth="1"/>
    <col min="1511" max="1512" width="0" hidden="1" customWidth="1"/>
    <col min="1759" max="1759" width="28.85546875" customWidth="1"/>
    <col min="1761" max="1762" width="0" hidden="1" customWidth="1"/>
    <col min="1764" max="1765" width="0" hidden="1" customWidth="1"/>
    <col min="1767" max="1768" width="0" hidden="1" customWidth="1"/>
    <col min="2015" max="2015" width="28.85546875" customWidth="1"/>
    <col min="2017" max="2018" width="0" hidden="1" customWidth="1"/>
    <col min="2020" max="2021" width="0" hidden="1" customWidth="1"/>
    <col min="2023" max="2024" width="0" hidden="1" customWidth="1"/>
    <col min="2271" max="2271" width="28.85546875" customWidth="1"/>
    <col min="2273" max="2274" width="0" hidden="1" customWidth="1"/>
    <col min="2276" max="2277" width="0" hidden="1" customWidth="1"/>
    <col min="2279" max="2280" width="0" hidden="1" customWidth="1"/>
    <col min="2527" max="2527" width="28.85546875" customWidth="1"/>
    <col min="2529" max="2530" width="0" hidden="1" customWidth="1"/>
    <col min="2532" max="2533" width="0" hidden="1" customWidth="1"/>
    <col min="2535" max="2536" width="0" hidden="1" customWidth="1"/>
    <col min="2783" max="2783" width="28.85546875" customWidth="1"/>
    <col min="2785" max="2786" width="0" hidden="1" customWidth="1"/>
    <col min="2788" max="2789" width="0" hidden="1" customWidth="1"/>
    <col min="2791" max="2792" width="0" hidden="1" customWidth="1"/>
    <col min="3039" max="3039" width="28.85546875" customWidth="1"/>
    <col min="3041" max="3042" width="0" hidden="1" customWidth="1"/>
    <col min="3044" max="3045" width="0" hidden="1" customWidth="1"/>
    <col min="3047" max="3048" width="0" hidden="1" customWidth="1"/>
    <col min="3295" max="3295" width="28.85546875" customWidth="1"/>
    <col min="3297" max="3298" width="0" hidden="1" customWidth="1"/>
    <col min="3300" max="3301" width="0" hidden="1" customWidth="1"/>
    <col min="3303" max="3304" width="0" hidden="1" customWidth="1"/>
    <col min="3551" max="3551" width="28.85546875" customWidth="1"/>
    <col min="3553" max="3554" width="0" hidden="1" customWidth="1"/>
    <col min="3556" max="3557" width="0" hidden="1" customWidth="1"/>
    <col min="3559" max="3560" width="0" hidden="1" customWidth="1"/>
    <col min="3807" max="3807" width="28.85546875" customWidth="1"/>
    <col min="3809" max="3810" width="0" hidden="1" customWidth="1"/>
    <col min="3812" max="3813" width="0" hidden="1" customWidth="1"/>
    <col min="3815" max="3816" width="0" hidden="1" customWidth="1"/>
    <col min="4063" max="4063" width="28.85546875" customWidth="1"/>
    <col min="4065" max="4066" width="0" hidden="1" customWidth="1"/>
    <col min="4068" max="4069" width="0" hidden="1" customWidth="1"/>
    <col min="4071" max="4072" width="0" hidden="1" customWidth="1"/>
    <col min="4319" max="4319" width="28.85546875" customWidth="1"/>
    <col min="4321" max="4322" width="0" hidden="1" customWidth="1"/>
    <col min="4324" max="4325" width="0" hidden="1" customWidth="1"/>
    <col min="4327" max="4328" width="0" hidden="1" customWidth="1"/>
    <col min="4575" max="4575" width="28.85546875" customWidth="1"/>
    <col min="4577" max="4578" width="0" hidden="1" customWidth="1"/>
    <col min="4580" max="4581" width="0" hidden="1" customWidth="1"/>
    <col min="4583" max="4584" width="0" hidden="1" customWidth="1"/>
    <col min="4831" max="4831" width="28.85546875" customWidth="1"/>
    <col min="4833" max="4834" width="0" hidden="1" customWidth="1"/>
    <col min="4836" max="4837" width="0" hidden="1" customWidth="1"/>
    <col min="4839" max="4840" width="0" hidden="1" customWidth="1"/>
    <col min="5087" max="5087" width="28.85546875" customWidth="1"/>
    <col min="5089" max="5090" width="0" hidden="1" customWidth="1"/>
    <col min="5092" max="5093" width="0" hidden="1" customWidth="1"/>
    <col min="5095" max="5096" width="0" hidden="1" customWidth="1"/>
    <col min="5343" max="5343" width="28.85546875" customWidth="1"/>
    <col min="5345" max="5346" width="0" hidden="1" customWidth="1"/>
    <col min="5348" max="5349" width="0" hidden="1" customWidth="1"/>
    <col min="5351" max="5352" width="0" hidden="1" customWidth="1"/>
    <col min="5599" max="5599" width="28.85546875" customWidth="1"/>
    <col min="5601" max="5602" width="0" hidden="1" customWidth="1"/>
    <col min="5604" max="5605" width="0" hidden="1" customWidth="1"/>
    <col min="5607" max="5608" width="0" hidden="1" customWidth="1"/>
    <col min="5855" max="5855" width="28.85546875" customWidth="1"/>
    <col min="5857" max="5858" width="0" hidden="1" customWidth="1"/>
    <col min="5860" max="5861" width="0" hidden="1" customWidth="1"/>
    <col min="5863" max="5864" width="0" hidden="1" customWidth="1"/>
    <col min="6111" max="6111" width="28.85546875" customWidth="1"/>
    <col min="6113" max="6114" width="0" hidden="1" customWidth="1"/>
    <col min="6116" max="6117" width="0" hidden="1" customWidth="1"/>
    <col min="6119" max="6120" width="0" hidden="1" customWidth="1"/>
    <col min="6367" max="6367" width="28.85546875" customWidth="1"/>
    <col min="6369" max="6370" width="0" hidden="1" customWidth="1"/>
    <col min="6372" max="6373" width="0" hidden="1" customWidth="1"/>
    <col min="6375" max="6376" width="0" hidden="1" customWidth="1"/>
    <col min="6623" max="6623" width="28.85546875" customWidth="1"/>
    <col min="6625" max="6626" width="0" hidden="1" customWidth="1"/>
    <col min="6628" max="6629" width="0" hidden="1" customWidth="1"/>
    <col min="6631" max="6632" width="0" hidden="1" customWidth="1"/>
    <col min="6879" max="6879" width="28.85546875" customWidth="1"/>
    <col min="6881" max="6882" width="0" hidden="1" customWidth="1"/>
    <col min="6884" max="6885" width="0" hidden="1" customWidth="1"/>
    <col min="6887" max="6888" width="0" hidden="1" customWidth="1"/>
    <col min="7135" max="7135" width="28.85546875" customWidth="1"/>
    <col min="7137" max="7138" width="0" hidden="1" customWidth="1"/>
    <col min="7140" max="7141" width="0" hidden="1" customWidth="1"/>
    <col min="7143" max="7144" width="0" hidden="1" customWidth="1"/>
    <col min="7391" max="7391" width="28.85546875" customWidth="1"/>
    <col min="7393" max="7394" width="0" hidden="1" customWidth="1"/>
    <col min="7396" max="7397" width="0" hidden="1" customWidth="1"/>
    <col min="7399" max="7400" width="0" hidden="1" customWidth="1"/>
    <col min="7647" max="7647" width="28.85546875" customWidth="1"/>
    <col min="7649" max="7650" width="0" hidden="1" customWidth="1"/>
    <col min="7652" max="7653" width="0" hidden="1" customWidth="1"/>
    <col min="7655" max="7656" width="0" hidden="1" customWidth="1"/>
    <col min="7903" max="7903" width="28.85546875" customWidth="1"/>
    <col min="7905" max="7906" width="0" hidden="1" customWidth="1"/>
    <col min="7908" max="7909" width="0" hidden="1" customWidth="1"/>
    <col min="7911" max="7912" width="0" hidden="1" customWidth="1"/>
    <col min="8159" max="8159" width="28.85546875" customWidth="1"/>
    <col min="8161" max="8162" width="0" hidden="1" customWidth="1"/>
    <col min="8164" max="8165" width="0" hidden="1" customWidth="1"/>
    <col min="8167" max="8168" width="0" hidden="1" customWidth="1"/>
    <col min="8415" max="8415" width="28.85546875" customWidth="1"/>
    <col min="8417" max="8418" width="0" hidden="1" customWidth="1"/>
    <col min="8420" max="8421" width="0" hidden="1" customWidth="1"/>
    <col min="8423" max="8424" width="0" hidden="1" customWidth="1"/>
    <col min="8671" max="8671" width="28.85546875" customWidth="1"/>
    <col min="8673" max="8674" width="0" hidden="1" customWidth="1"/>
    <col min="8676" max="8677" width="0" hidden="1" customWidth="1"/>
    <col min="8679" max="8680" width="0" hidden="1" customWidth="1"/>
    <col min="8927" max="8927" width="28.85546875" customWidth="1"/>
    <col min="8929" max="8930" width="0" hidden="1" customWidth="1"/>
    <col min="8932" max="8933" width="0" hidden="1" customWidth="1"/>
    <col min="8935" max="8936" width="0" hidden="1" customWidth="1"/>
    <col min="9183" max="9183" width="28.85546875" customWidth="1"/>
    <col min="9185" max="9186" width="0" hidden="1" customWidth="1"/>
    <col min="9188" max="9189" width="0" hidden="1" customWidth="1"/>
    <col min="9191" max="9192" width="0" hidden="1" customWidth="1"/>
    <col min="9439" max="9439" width="28.85546875" customWidth="1"/>
    <col min="9441" max="9442" width="0" hidden="1" customWidth="1"/>
    <col min="9444" max="9445" width="0" hidden="1" customWidth="1"/>
    <col min="9447" max="9448" width="0" hidden="1" customWidth="1"/>
    <col min="9695" max="9695" width="28.85546875" customWidth="1"/>
    <col min="9697" max="9698" width="0" hidden="1" customWidth="1"/>
    <col min="9700" max="9701" width="0" hidden="1" customWidth="1"/>
    <col min="9703" max="9704" width="0" hidden="1" customWidth="1"/>
    <col min="9951" max="9951" width="28.85546875" customWidth="1"/>
    <col min="9953" max="9954" width="0" hidden="1" customWidth="1"/>
    <col min="9956" max="9957" width="0" hidden="1" customWidth="1"/>
    <col min="9959" max="9960" width="0" hidden="1" customWidth="1"/>
    <col min="10207" max="10207" width="28.85546875" customWidth="1"/>
    <col min="10209" max="10210" width="0" hidden="1" customWidth="1"/>
    <col min="10212" max="10213" width="0" hidden="1" customWidth="1"/>
    <col min="10215" max="10216" width="0" hidden="1" customWidth="1"/>
    <col min="10463" max="10463" width="28.85546875" customWidth="1"/>
    <col min="10465" max="10466" width="0" hidden="1" customWidth="1"/>
    <col min="10468" max="10469" width="0" hidden="1" customWidth="1"/>
    <col min="10471" max="10472" width="0" hidden="1" customWidth="1"/>
    <col min="10719" max="10719" width="28.85546875" customWidth="1"/>
    <col min="10721" max="10722" width="0" hidden="1" customWidth="1"/>
    <col min="10724" max="10725" width="0" hidden="1" customWidth="1"/>
    <col min="10727" max="10728" width="0" hidden="1" customWidth="1"/>
    <col min="10975" max="10975" width="28.85546875" customWidth="1"/>
    <col min="10977" max="10978" width="0" hidden="1" customWidth="1"/>
    <col min="10980" max="10981" width="0" hidden="1" customWidth="1"/>
    <col min="10983" max="10984" width="0" hidden="1" customWidth="1"/>
    <col min="11231" max="11231" width="28.85546875" customWidth="1"/>
    <col min="11233" max="11234" width="0" hidden="1" customWidth="1"/>
    <col min="11236" max="11237" width="0" hidden="1" customWidth="1"/>
    <col min="11239" max="11240" width="0" hidden="1" customWidth="1"/>
    <col min="11487" max="11487" width="28.85546875" customWidth="1"/>
    <col min="11489" max="11490" width="0" hidden="1" customWidth="1"/>
    <col min="11492" max="11493" width="0" hidden="1" customWidth="1"/>
    <col min="11495" max="11496" width="0" hidden="1" customWidth="1"/>
    <col min="11743" max="11743" width="28.85546875" customWidth="1"/>
    <col min="11745" max="11746" width="0" hidden="1" customWidth="1"/>
    <col min="11748" max="11749" width="0" hidden="1" customWidth="1"/>
    <col min="11751" max="11752" width="0" hidden="1" customWidth="1"/>
    <col min="11999" max="11999" width="28.85546875" customWidth="1"/>
    <col min="12001" max="12002" width="0" hidden="1" customWidth="1"/>
    <col min="12004" max="12005" width="0" hidden="1" customWidth="1"/>
    <col min="12007" max="12008" width="0" hidden="1" customWidth="1"/>
    <col min="12255" max="12255" width="28.85546875" customWidth="1"/>
    <col min="12257" max="12258" width="0" hidden="1" customWidth="1"/>
    <col min="12260" max="12261" width="0" hidden="1" customWidth="1"/>
    <col min="12263" max="12264" width="0" hidden="1" customWidth="1"/>
    <col min="12511" max="12511" width="28.85546875" customWidth="1"/>
    <col min="12513" max="12514" width="0" hidden="1" customWidth="1"/>
    <col min="12516" max="12517" width="0" hidden="1" customWidth="1"/>
    <col min="12519" max="12520" width="0" hidden="1" customWidth="1"/>
    <col min="12767" max="12767" width="28.85546875" customWidth="1"/>
    <col min="12769" max="12770" width="0" hidden="1" customWidth="1"/>
    <col min="12772" max="12773" width="0" hidden="1" customWidth="1"/>
    <col min="12775" max="12776" width="0" hidden="1" customWidth="1"/>
    <col min="13023" max="13023" width="28.85546875" customWidth="1"/>
    <col min="13025" max="13026" width="0" hidden="1" customWidth="1"/>
    <col min="13028" max="13029" width="0" hidden="1" customWidth="1"/>
    <col min="13031" max="13032" width="0" hidden="1" customWidth="1"/>
    <col min="13279" max="13279" width="28.85546875" customWidth="1"/>
    <col min="13281" max="13282" width="0" hidden="1" customWidth="1"/>
    <col min="13284" max="13285" width="0" hidden="1" customWidth="1"/>
    <col min="13287" max="13288" width="0" hidden="1" customWidth="1"/>
    <col min="13535" max="13535" width="28.85546875" customWidth="1"/>
    <col min="13537" max="13538" width="0" hidden="1" customWidth="1"/>
    <col min="13540" max="13541" width="0" hidden="1" customWidth="1"/>
    <col min="13543" max="13544" width="0" hidden="1" customWidth="1"/>
    <col min="13791" max="13791" width="28.85546875" customWidth="1"/>
    <col min="13793" max="13794" width="0" hidden="1" customWidth="1"/>
    <col min="13796" max="13797" width="0" hidden="1" customWidth="1"/>
    <col min="13799" max="13800" width="0" hidden="1" customWidth="1"/>
    <col min="14047" max="14047" width="28.85546875" customWidth="1"/>
    <col min="14049" max="14050" width="0" hidden="1" customWidth="1"/>
    <col min="14052" max="14053" width="0" hidden="1" customWidth="1"/>
    <col min="14055" max="14056" width="0" hidden="1" customWidth="1"/>
    <col min="14303" max="14303" width="28.85546875" customWidth="1"/>
    <col min="14305" max="14306" width="0" hidden="1" customWidth="1"/>
    <col min="14308" max="14309" width="0" hidden="1" customWidth="1"/>
    <col min="14311" max="14312" width="0" hidden="1" customWidth="1"/>
    <col min="14559" max="14559" width="28.85546875" customWidth="1"/>
    <col min="14561" max="14562" width="0" hidden="1" customWidth="1"/>
    <col min="14564" max="14565" width="0" hidden="1" customWidth="1"/>
    <col min="14567" max="14568" width="0" hidden="1" customWidth="1"/>
    <col min="14815" max="14815" width="28.85546875" customWidth="1"/>
    <col min="14817" max="14818" width="0" hidden="1" customWidth="1"/>
    <col min="14820" max="14821" width="0" hidden="1" customWidth="1"/>
    <col min="14823" max="14824" width="0" hidden="1" customWidth="1"/>
    <col min="15071" max="15071" width="28.85546875" customWidth="1"/>
    <col min="15073" max="15074" width="0" hidden="1" customWidth="1"/>
    <col min="15076" max="15077" width="0" hidden="1" customWidth="1"/>
    <col min="15079" max="15080" width="0" hidden="1" customWidth="1"/>
    <col min="15327" max="15327" width="28.85546875" customWidth="1"/>
    <col min="15329" max="15330" width="0" hidden="1" customWidth="1"/>
    <col min="15332" max="15333" width="0" hidden="1" customWidth="1"/>
    <col min="15335" max="15336" width="0" hidden="1" customWidth="1"/>
    <col min="15583" max="15583" width="28.85546875" customWidth="1"/>
    <col min="15585" max="15586" width="0" hidden="1" customWidth="1"/>
    <col min="15588" max="15589" width="0" hidden="1" customWidth="1"/>
    <col min="15591" max="15592" width="0" hidden="1" customWidth="1"/>
    <col min="15839" max="15839" width="28.85546875" customWidth="1"/>
    <col min="15841" max="15842" width="0" hidden="1" customWidth="1"/>
    <col min="15844" max="15845" width="0" hidden="1" customWidth="1"/>
    <col min="15847" max="15848" width="0" hidden="1" customWidth="1"/>
    <col min="16095" max="16095" width="28.85546875" customWidth="1"/>
    <col min="16097" max="16098" width="0" hidden="1" customWidth="1"/>
    <col min="16100" max="16101" width="0" hidden="1" customWidth="1"/>
    <col min="16103" max="16104" width="0" hidden="1" customWidth="1"/>
    <col min="16343" max="16348" width="11.42578125" customWidth="1"/>
  </cols>
  <sheetData>
    <row r="1" spans="1:159">
      <c r="A1" s="791"/>
      <c r="B1" s="791"/>
      <c r="C1" s="13"/>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c r="AZ1" s="788"/>
      <c r="BA1" s="788"/>
      <c r="BB1" s="788"/>
      <c r="BC1" s="788"/>
      <c r="BD1" s="788"/>
      <c r="BE1" s="788"/>
      <c r="BF1" s="788"/>
      <c r="BG1" s="788"/>
      <c r="BH1" s="788"/>
      <c r="BI1" s="788"/>
      <c r="BJ1" s="788"/>
      <c r="BK1" s="788"/>
      <c r="BL1" s="788"/>
      <c r="BM1" s="788"/>
      <c r="BN1" s="788"/>
      <c r="BO1" s="788"/>
      <c r="BP1" s="788"/>
      <c r="BQ1" s="788"/>
      <c r="BR1" s="788"/>
      <c r="BS1" s="788"/>
      <c r="BT1" s="788"/>
      <c r="BU1" s="788"/>
      <c r="BV1" s="788"/>
      <c r="BW1" s="788"/>
      <c r="BX1" s="788"/>
      <c r="BY1" s="788"/>
      <c r="BZ1" s="788"/>
      <c r="CA1" s="788"/>
      <c r="CB1" s="788"/>
      <c r="CC1" s="788"/>
      <c r="CD1" s="788"/>
      <c r="CE1" s="788"/>
      <c r="CF1" s="788"/>
      <c r="CG1" s="788"/>
      <c r="CH1" s="788"/>
      <c r="CI1" s="788"/>
      <c r="CJ1" s="788"/>
      <c r="CK1" s="788"/>
      <c r="CL1" s="788"/>
      <c r="CM1" s="788"/>
      <c r="CN1" s="788"/>
      <c r="CO1" s="788"/>
      <c r="CP1" s="788"/>
      <c r="CQ1" s="788"/>
      <c r="CR1" s="788"/>
      <c r="CS1" s="788"/>
      <c r="CT1" s="788"/>
      <c r="CU1" s="788"/>
      <c r="CV1" s="788"/>
      <c r="CW1" s="788"/>
      <c r="CX1" s="788"/>
      <c r="CY1" s="788"/>
      <c r="CZ1" s="788"/>
      <c r="DA1" s="788"/>
      <c r="DB1" s="788"/>
      <c r="DC1" s="788"/>
      <c r="DD1" s="788"/>
      <c r="DE1" s="788"/>
      <c r="DF1" s="788"/>
      <c r="DG1" s="788"/>
      <c r="DH1" s="788"/>
      <c r="DI1" s="788"/>
      <c r="DJ1" s="788"/>
      <c r="DK1" s="788"/>
      <c r="DL1" s="788"/>
      <c r="DM1" s="788"/>
      <c r="DN1" s="788"/>
      <c r="DO1" s="788"/>
      <c r="DP1" s="788"/>
      <c r="DQ1" s="788"/>
      <c r="DR1" s="788"/>
      <c r="DS1" s="788"/>
      <c r="DT1" s="788"/>
      <c r="DU1" s="788"/>
      <c r="DV1" s="788"/>
      <c r="DW1" s="788"/>
      <c r="DX1" s="788"/>
      <c r="DY1" s="788"/>
      <c r="DZ1" s="788"/>
      <c r="EA1" s="788"/>
      <c r="EB1" s="788"/>
      <c r="EC1" s="788"/>
      <c r="ED1" s="788"/>
      <c r="EE1" s="788"/>
      <c r="EF1" s="788"/>
      <c r="EG1" s="788"/>
      <c r="EH1" s="788"/>
      <c r="EI1" s="788"/>
      <c r="EJ1" s="788"/>
      <c r="EK1" s="788"/>
      <c r="EL1" s="788"/>
      <c r="EM1" s="788"/>
      <c r="EN1" s="788"/>
      <c r="EO1" s="788"/>
      <c r="EP1" s="788"/>
      <c r="EQ1" s="788"/>
      <c r="ER1" s="788"/>
      <c r="ES1" s="788"/>
      <c r="ET1" s="788"/>
      <c r="EU1" s="788"/>
      <c r="EV1" s="788"/>
      <c r="EW1" s="788"/>
      <c r="EX1" s="788"/>
      <c r="EY1" s="788"/>
      <c r="EZ1" s="788"/>
      <c r="FA1" s="788"/>
      <c r="FB1" s="788"/>
      <c r="FC1" s="788"/>
    </row>
    <row r="2" spans="1:159" s="787" customFormat="1" ht="21" customHeight="1">
      <c r="A2" s="792"/>
      <c r="B2" s="789"/>
      <c r="C2" s="785" t="s">
        <v>1317</v>
      </c>
      <c r="D2" s="785"/>
      <c r="E2" s="785"/>
      <c r="F2" s="785"/>
      <c r="G2" s="785"/>
      <c r="H2" s="785"/>
      <c r="I2" s="785"/>
      <c r="J2" s="785"/>
      <c r="K2" s="785"/>
      <c r="L2" s="785"/>
      <c r="M2" s="785"/>
      <c r="N2" s="785"/>
      <c r="O2" s="785"/>
      <c r="P2" s="785"/>
      <c r="Q2" s="785"/>
      <c r="R2" s="790"/>
      <c r="S2" s="790"/>
      <c r="T2" s="790"/>
      <c r="U2" s="790"/>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89"/>
      <c r="AZ2" s="789"/>
      <c r="BA2" s="789"/>
      <c r="BB2" s="789"/>
      <c r="BC2" s="789"/>
      <c r="BD2" s="789"/>
      <c r="BE2" s="789"/>
      <c r="BF2" s="789"/>
      <c r="BG2" s="789"/>
      <c r="BH2" s="789"/>
      <c r="BI2" s="789"/>
      <c r="BJ2" s="789"/>
      <c r="BK2" s="789"/>
      <c r="BL2" s="789"/>
      <c r="BM2" s="789"/>
      <c r="BN2" s="789"/>
      <c r="BO2" s="789"/>
      <c r="BP2" s="789"/>
      <c r="BQ2" s="789"/>
      <c r="BR2" s="789"/>
      <c r="BS2" s="789"/>
      <c r="BT2" s="789"/>
      <c r="BU2" s="789"/>
      <c r="BV2" s="789"/>
      <c r="BW2" s="789"/>
      <c r="BX2" s="789"/>
      <c r="BY2" s="789"/>
      <c r="BZ2" s="789"/>
      <c r="CA2" s="789"/>
      <c r="CB2" s="789"/>
      <c r="CC2" s="789"/>
      <c r="CD2" s="789"/>
      <c r="CE2" s="789"/>
      <c r="CF2" s="789"/>
      <c r="CG2" s="789"/>
      <c r="CH2" s="789"/>
      <c r="CI2" s="789"/>
      <c r="CJ2" s="789"/>
      <c r="CK2" s="789"/>
      <c r="CL2" s="789"/>
      <c r="CM2" s="789"/>
      <c r="CN2" s="789"/>
      <c r="CO2" s="789"/>
      <c r="CP2" s="789"/>
      <c r="CQ2" s="789"/>
      <c r="CR2" s="789"/>
      <c r="CS2" s="789"/>
      <c r="CT2" s="789"/>
      <c r="CU2" s="789"/>
      <c r="CV2" s="789"/>
      <c r="CW2" s="789"/>
      <c r="CX2" s="789"/>
      <c r="CY2" s="789"/>
      <c r="CZ2" s="789"/>
      <c r="DA2" s="789"/>
      <c r="DB2" s="789"/>
      <c r="DC2" s="789"/>
      <c r="DD2" s="789"/>
      <c r="DE2" s="789"/>
      <c r="DF2" s="789"/>
      <c r="DG2" s="789"/>
      <c r="DH2" s="789"/>
      <c r="DI2" s="789"/>
      <c r="DJ2" s="789"/>
      <c r="DK2" s="789"/>
      <c r="DL2" s="789"/>
      <c r="DM2" s="789"/>
      <c r="DN2" s="789"/>
      <c r="DO2" s="789"/>
      <c r="DP2" s="789"/>
      <c r="DQ2" s="789"/>
      <c r="DR2" s="789"/>
      <c r="DS2" s="789"/>
      <c r="DT2" s="789"/>
      <c r="DU2" s="789"/>
      <c r="DV2" s="789"/>
      <c r="DW2" s="789"/>
      <c r="DX2" s="789"/>
      <c r="DY2" s="789"/>
      <c r="DZ2" s="789"/>
      <c r="EA2" s="789"/>
      <c r="EB2" s="789"/>
      <c r="EC2" s="789"/>
      <c r="ED2" s="789"/>
      <c r="EE2" s="789"/>
      <c r="EF2" s="789"/>
      <c r="EG2" s="789"/>
      <c r="EH2" s="789"/>
      <c r="EI2" s="789"/>
      <c r="EJ2" s="789"/>
      <c r="EK2" s="789"/>
      <c r="EL2" s="789"/>
      <c r="EM2" s="789"/>
      <c r="EN2" s="789"/>
      <c r="EO2" s="789"/>
      <c r="EP2" s="789"/>
      <c r="EQ2" s="789"/>
      <c r="ER2" s="789"/>
      <c r="ES2" s="789"/>
      <c r="ET2" s="789"/>
      <c r="EU2" s="789"/>
      <c r="EV2" s="789"/>
      <c r="EW2" s="789"/>
      <c r="EX2" s="789"/>
      <c r="EY2" s="789"/>
      <c r="EZ2" s="789"/>
      <c r="FA2" s="789"/>
      <c r="FB2" s="789"/>
      <c r="FC2" s="789"/>
    </row>
    <row r="3" spans="1:159" s="787" customFormat="1" ht="22.5" customHeight="1">
      <c r="A3" s="792"/>
      <c r="B3" s="789"/>
      <c r="C3" s="785" t="s">
        <v>1324</v>
      </c>
      <c r="D3" s="785"/>
      <c r="E3" s="785"/>
      <c r="F3" s="785"/>
      <c r="G3" s="785"/>
      <c r="H3" s="785"/>
      <c r="I3" s="785"/>
      <c r="J3" s="785"/>
      <c r="K3" s="785"/>
      <c r="L3" s="785"/>
      <c r="M3" s="785"/>
      <c r="N3" s="785"/>
      <c r="O3" s="785"/>
      <c r="P3" s="785"/>
      <c r="Q3" s="785"/>
      <c r="R3" s="790"/>
      <c r="S3" s="790"/>
      <c r="T3" s="790"/>
      <c r="U3" s="790"/>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c r="AW3" s="789"/>
      <c r="AX3" s="789"/>
      <c r="AY3" s="789"/>
      <c r="AZ3" s="789"/>
      <c r="BA3" s="789"/>
      <c r="BB3" s="789"/>
      <c r="BC3" s="789"/>
      <c r="BD3" s="789"/>
      <c r="BE3" s="789"/>
      <c r="BF3" s="789"/>
      <c r="BG3" s="789"/>
      <c r="BH3" s="789"/>
      <c r="BI3" s="789"/>
      <c r="BJ3" s="789"/>
      <c r="BK3" s="789"/>
      <c r="BL3" s="789"/>
      <c r="BM3" s="789"/>
      <c r="BN3" s="789"/>
      <c r="BO3" s="789"/>
      <c r="BP3" s="789"/>
      <c r="BQ3" s="789"/>
      <c r="BR3" s="789"/>
      <c r="BS3" s="789"/>
      <c r="BT3" s="789"/>
      <c r="BU3" s="789"/>
      <c r="BV3" s="789"/>
      <c r="BW3" s="789"/>
      <c r="BX3" s="789"/>
      <c r="BY3" s="789"/>
      <c r="BZ3" s="789"/>
      <c r="CA3" s="789"/>
      <c r="CB3" s="789"/>
      <c r="CC3" s="789"/>
      <c r="CD3" s="789"/>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c r="EA3" s="789"/>
      <c r="EB3" s="789"/>
      <c r="EC3" s="789"/>
      <c r="ED3" s="789"/>
      <c r="EE3" s="789"/>
      <c r="EF3" s="789"/>
      <c r="EG3" s="789"/>
      <c r="EH3" s="789"/>
      <c r="EI3" s="789"/>
      <c r="EJ3" s="789"/>
      <c r="EK3" s="789"/>
      <c r="EL3" s="789"/>
      <c r="EM3" s="789"/>
      <c r="EN3" s="789"/>
      <c r="EO3" s="789"/>
      <c r="EP3" s="789"/>
      <c r="EQ3" s="789"/>
      <c r="ER3" s="789"/>
      <c r="ES3" s="789"/>
      <c r="ET3" s="789"/>
      <c r="EU3" s="789"/>
      <c r="EV3" s="789"/>
      <c r="EW3" s="789"/>
      <c r="EX3" s="789"/>
      <c r="EY3" s="789"/>
      <c r="EZ3" s="789"/>
      <c r="FA3" s="789"/>
      <c r="FB3" s="789"/>
      <c r="FC3" s="789"/>
    </row>
    <row r="4" spans="1:159" s="787" customFormat="1" ht="22.5" customHeight="1">
      <c r="A4" s="792"/>
      <c r="B4" s="789"/>
      <c r="C4" s="714" t="s">
        <v>1035</v>
      </c>
      <c r="D4" s="714"/>
      <c r="E4" s="714"/>
      <c r="F4" s="714"/>
      <c r="G4" s="714"/>
      <c r="H4" s="714"/>
      <c r="I4" s="714"/>
      <c r="J4" s="714"/>
      <c r="K4" s="714"/>
      <c r="L4" s="714"/>
      <c r="M4" s="714"/>
      <c r="N4" s="714"/>
      <c r="O4" s="714"/>
      <c r="P4" s="714"/>
      <c r="Q4" s="714"/>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789"/>
      <c r="BA4" s="789"/>
      <c r="BB4" s="789"/>
      <c r="BC4" s="789"/>
      <c r="BD4" s="789"/>
      <c r="BE4" s="789"/>
      <c r="BF4" s="789"/>
      <c r="BG4" s="789"/>
      <c r="BH4" s="789"/>
      <c r="BI4" s="789"/>
      <c r="BJ4" s="789"/>
      <c r="BK4" s="789"/>
      <c r="BL4" s="789"/>
      <c r="BM4" s="789"/>
      <c r="BN4" s="789"/>
      <c r="BO4" s="789"/>
      <c r="BP4" s="789"/>
      <c r="BQ4" s="789"/>
      <c r="BR4" s="789"/>
      <c r="BS4" s="789"/>
      <c r="BT4" s="789"/>
      <c r="BU4" s="789"/>
      <c r="BV4" s="789"/>
      <c r="BW4" s="789"/>
      <c r="BX4" s="789"/>
      <c r="BY4" s="789"/>
      <c r="BZ4" s="789"/>
      <c r="CA4" s="789"/>
      <c r="CB4" s="789"/>
      <c r="CC4" s="789"/>
      <c r="CD4" s="789"/>
      <c r="CE4" s="789"/>
      <c r="CF4" s="789"/>
      <c r="CG4" s="789"/>
      <c r="CH4" s="789"/>
      <c r="CI4" s="789"/>
      <c r="CJ4" s="789"/>
      <c r="CK4" s="789"/>
      <c r="CL4" s="789"/>
      <c r="CM4" s="789"/>
      <c r="CN4" s="789"/>
      <c r="CO4" s="789"/>
      <c r="CP4" s="789"/>
      <c r="CQ4" s="789"/>
      <c r="CR4" s="789"/>
      <c r="CS4" s="789"/>
      <c r="CT4" s="789"/>
      <c r="CU4" s="789"/>
      <c r="CV4" s="789"/>
      <c r="CW4" s="789"/>
      <c r="CX4" s="789"/>
      <c r="CY4" s="789"/>
      <c r="CZ4" s="789"/>
      <c r="DA4" s="789"/>
      <c r="DB4" s="789"/>
      <c r="DC4" s="789"/>
      <c r="DD4" s="789"/>
      <c r="DE4" s="789"/>
      <c r="DF4" s="789"/>
      <c r="DG4" s="789"/>
      <c r="DH4" s="789"/>
      <c r="DI4" s="789"/>
      <c r="DJ4" s="789"/>
      <c r="DK4" s="789"/>
      <c r="DL4" s="789"/>
      <c r="DM4" s="789"/>
      <c r="DN4" s="789"/>
      <c r="DO4" s="789"/>
      <c r="DP4" s="789"/>
      <c r="DQ4" s="789"/>
      <c r="DR4" s="789"/>
      <c r="DS4" s="789"/>
      <c r="DT4" s="789"/>
      <c r="DU4" s="789"/>
      <c r="DV4" s="789"/>
      <c r="DW4" s="789"/>
      <c r="DX4" s="789"/>
      <c r="DY4" s="789"/>
      <c r="DZ4" s="789"/>
      <c r="EA4" s="789"/>
      <c r="EB4" s="789"/>
      <c r="EC4" s="789"/>
      <c r="ED4" s="789"/>
      <c r="EE4" s="789"/>
      <c r="EF4" s="789"/>
      <c r="EG4" s="789"/>
      <c r="EH4" s="789"/>
      <c r="EI4" s="789"/>
      <c r="EJ4" s="789"/>
      <c r="EK4" s="789"/>
      <c r="EL4" s="789"/>
      <c r="EM4" s="789"/>
      <c r="EN4" s="789"/>
      <c r="EO4" s="789"/>
      <c r="EP4" s="789"/>
      <c r="EQ4" s="789"/>
      <c r="ER4" s="789"/>
      <c r="ES4" s="789"/>
      <c r="ET4" s="789"/>
      <c r="EU4" s="789"/>
      <c r="EV4" s="789"/>
      <c r="EW4" s="789"/>
      <c r="EX4" s="789"/>
      <c r="EY4" s="789"/>
      <c r="EZ4" s="789"/>
      <c r="FA4" s="789"/>
      <c r="FB4" s="789"/>
      <c r="FC4" s="789"/>
    </row>
    <row r="5" spans="1:159" ht="24.75" customHeight="1">
      <c r="A5" s="791"/>
      <c r="B5" s="791"/>
      <c r="C5" s="704" t="s">
        <v>1330</v>
      </c>
      <c r="D5" s="704"/>
      <c r="E5" s="704"/>
      <c r="F5" s="704"/>
      <c r="G5" s="704"/>
      <c r="H5" s="704"/>
      <c r="I5" s="704"/>
      <c r="J5" s="704"/>
      <c r="K5" s="704"/>
      <c r="L5" s="704"/>
      <c r="M5" s="704"/>
      <c r="N5" s="704"/>
      <c r="O5" s="704"/>
      <c r="P5" s="704"/>
      <c r="Q5" s="704"/>
      <c r="R5" s="788"/>
      <c r="S5" s="788"/>
      <c r="T5" s="788"/>
      <c r="U5" s="788"/>
      <c r="V5" s="788"/>
      <c r="W5" s="788"/>
      <c r="X5" s="788"/>
      <c r="Y5" s="788"/>
      <c r="Z5" s="788"/>
      <c r="AA5" s="788"/>
      <c r="AB5" s="788"/>
      <c r="AC5" s="788"/>
      <c r="AD5" s="788"/>
      <c r="AE5" s="788"/>
      <c r="AF5" s="788"/>
      <c r="AG5" s="788"/>
      <c r="AH5" s="788"/>
      <c r="AI5" s="788"/>
      <c r="AJ5" s="788"/>
      <c r="AK5" s="788"/>
      <c r="AL5" s="788"/>
      <c r="AM5" s="788"/>
      <c r="AN5" s="788"/>
      <c r="AO5" s="788"/>
      <c r="AP5" s="788"/>
      <c r="AQ5" s="788"/>
      <c r="AR5" s="788"/>
      <c r="AS5" s="788"/>
      <c r="AT5" s="788"/>
      <c r="AU5" s="788"/>
      <c r="AV5" s="788"/>
      <c r="AW5" s="788"/>
      <c r="AX5" s="788"/>
      <c r="AY5" s="788"/>
      <c r="AZ5" s="788"/>
      <c r="BA5" s="788"/>
      <c r="BB5" s="788"/>
      <c r="BC5" s="788"/>
      <c r="BD5" s="788"/>
      <c r="BE5" s="788"/>
      <c r="BF5" s="788"/>
      <c r="BG5" s="788"/>
      <c r="BH5" s="788"/>
      <c r="BI5" s="788"/>
      <c r="BJ5" s="788"/>
      <c r="BK5" s="788"/>
      <c r="BL5" s="788"/>
      <c r="BM5" s="788"/>
      <c r="BN5" s="788"/>
      <c r="BO5" s="788"/>
      <c r="BP5" s="788"/>
      <c r="BQ5" s="788"/>
      <c r="BR5" s="788"/>
      <c r="BS5" s="788"/>
      <c r="BT5" s="788"/>
      <c r="BU5" s="788"/>
      <c r="BV5" s="788"/>
      <c r="BW5" s="788"/>
      <c r="BX5" s="788"/>
      <c r="BY5" s="788"/>
      <c r="BZ5" s="788"/>
      <c r="CA5" s="788"/>
      <c r="CB5" s="788"/>
      <c r="CC5" s="788"/>
      <c r="CD5" s="788"/>
      <c r="CE5" s="788"/>
      <c r="CF5" s="788"/>
      <c r="CG5" s="788"/>
      <c r="CH5" s="788"/>
      <c r="CI5" s="788"/>
      <c r="CJ5" s="788"/>
      <c r="CK5" s="788"/>
      <c r="CL5" s="788"/>
      <c r="CM5" s="788"/>
      <c r="CN5" s="788"/>
      <c r="CO5" s="788"/>
      <c r="CP5" s="788"/>
      <c r="CQ5" s="788"/>
      <c r="CR5" s="788"/>
      <c r="CS5" s="788"/>
      <c r="CT5" s="788"/>
      <c r="CU5" s="788"/>
      <c r="CV5" s="788"/>
      <c r="CW5" s="788"/>
      <c r="CX5" s="788"/>
      <c r="CY5" s="788"/>
      <c r="CZ5" s="788"/>
      <c r="DA5" s="788"/>
      <c r="DB5" s="788"/>
      <c r="DC5" s="788"/>
      <c r="DD5" s="788"/>
      <c r="DE5" s="788"/>
      <c r="DF5" s="788"/>
      <c r="DG5" s="788"/>
      <c r="DH5" s="788"/>
      <c r="DI5" s="788"/>
      <c r="DJ5" s="788"/>
      <c r="DK5" s="788"/>
      <c r="DL5" s="788"/>
      <c r="DM5" s="788"/>
      <c r="DN5" s="788"/>
      <c r="DO5" s="788"/>
      <c r="DP5" s="788"/>
      <c r="DQ5" s="788"/>
      <c r="DR5" s="788"/>
      <c r="DS5" s="788"/>
      <c r="DT5" s="788"/>
      <c r="DU5" s="788"/>
      <c r="DV5" s="788"/>
      <c r="DW5" s="788"/>
      <c r="DX5" s="788"/>
      <c r="DY5" s="788"/>
      <c r="DZ5" s="788"/>
      <c r="EA5" s="788"/>
      <c r="EB5" s="788"/>
      <c r="EC5" s="788"/>
      <c r="ED5" s="788"/>
      <c r="EE5" s="788"/>
      <c r="EF5" s="788"/>
      <c r="EG5" s="788"/>
      <c r="EH5" s="788"/>
      <c r="EI5" s="788"/>
      <c r="EJ5" s="788"/>
      <c r="EK5" s="788"/>
      <c r="EL5" s="788"/>
      <c r="EM5" s="788"/>
      <c r="EN5" s="788"/>
      <c r="EO5" s="788"/>
      <c r="EP5" s="788"/>
      <c r="EQ5" s="788"/>
      <c r="ER5" s="788"/>
      <c r="ES5" s="788"/>
      <c r="ET5" s="788"/>
      <c r="EU5" s="788"/>
      <c r="EV5" s="788"/>
      <c r="EW5" s="788"/>
      <c r="EX5" s="788"/>
      <c r="EY5" s="788"/>
      <c r="EZ5" s="788"/>
      <c r="FA5" s="788"/>
      <c r="FB5" s="788"/>
      <c r="FC5" s="788"/>
    </row>
    <row r="6" spans="1:159" ht="27" customHeight="1">
      <c r="A6" s="13"/>
      <c r="B6" s="13"/>
      <c r="C6" s="704" t="s">
        <v>188</v>
      </c>
      <c r="D6" s="704"/>
      <c r="E6" s="704"/>
      <c r="F6" s="704"/>
      <c r="G6" s="704"/>
      <c r="H6" s="704"/>
      <c r="I6" s="704"/>
      <c r="J6" s="704"/>
      <c r="K6" s="704"/>
      <c r="L6" s="704"/>
      <c r="M6" s="704"/>
      <c r="N6" s="704"/>
      <c r="O6" s="704"/>
      <c r="P6" s="704"/>
      <c r="Q6" s="704"/>
    </row>
    <row r="7" spans="1:159" ht="18" customHeight="1">
      <c r="A7" s="13"/>
      <c r="B7" s="13"/>
      <c r="C7" s="704" t="s">
        <v>468</v>
      </c>
      <c r="D7" s="704"/>
      <c r="E7" s="704"/>
      <c r="F7" s="704"/>
      <c r="G7" s="704"/>
      <c r="H7" s="704"/>
      <c r="I7" s="704"/>
      <c r="J7" s="704"/>
      <c r="K7" s="704"/>
      <c r="L7" s="704"/>
      <c r="M7" s="704"/>
      <c r="N7" s="704"/>
      <c r="O7" s="704"/>
      <c r="P7" s="704"/>
      <c r="Q7" s="704"/>
    </row>
    <row r="8" spans="1:159" s="11" customFormat="1" ht="19.5" customHeight="1" thickBot="1">
      <c r="A8" s="132"/>
      <c r="B8" s="132"/>
      <c r="C8" s="132"/>
      <c r="D8" s="133"/>
      <c r="E8" s="133"/>
      <c r="F8" s="133"/>
      <c r="G8" s="133"/>
      <c r="H8" s="786" t="s">
        <v>1318</v>
      </c>
      <c r="I8" s="786"/>
      <c r="J8" s="786"/>
      <c r="K8" s="196"/>
    </row>
    <row r="9" spans="1:159" ht="15.75">
      <c r="A9" s="702" t="s">
        <v>92</v>
      </c>
      <c r="B9" s="703"/>
      <c r="C9" s="344">
        <v>525324628</v>
      </c>
      <c r="D9" s="347"/>
      <c r="E9" s="287"/>
    </row>
    <row r="10" spans="1:159" ht="15.75">
      <c r="A10" s="698" t="s">
        <v>842</v>
      </c>
      <c r="B10" s="699"/>
      <c r="C10" s="345">
        <f>F25</f>
        <v>525324627.38999999</v>
      </c>
      <c r="D10" s="347"/>
      <c r="E10" s="287"/>
      <c r="H10" s="3"/>
    </row>
    <row r="11" spans="1:159" ht="15.75">
      <c r="A11" s="698" t="s">
        <v>5</v>
      </c>
      <c r="B11" s="699"/>
      <c r="C11" s="345">
        <f>G25</f>
        <v>525079880.5</v>
      </c>
      <c r="D11" s="347"/>
      <c r="E11" s="287"/>
      <c r="G11" s="60"/>
      <c r="H11" s="3"/>
    </row>
    <row r="12" spans="1:159" ht="16.5" thickBot="1">
      <c r="A12" s="700" t="s">
        <v>13</v>
      </c>
      <c r="B12" s="701"/>
      <c r="C12" s="346">
        <f>H25</f>
        <v>244746.88999998104</v>
      </c>
      <c r="D12" s="347"/>
      <c r="E12" s="287"/>
      <c r="G12" s="173"/>
      <c r="H12" s="59"/>
    </row>
    <row r="13" spans="1:159" ht="15.75" thickBot="1">
      <c r="A13" s="120"/>
      <c r="B13" s="121"/>
      <c r="C13" s="121"/>
      <c r="D13" s="121"/>
      <c r="J13" s="173"/>
      <c r="K13" s="3"/>
      <c r="Q13" s="123" t="s">
        <v>1039</v>
      </c>
    </row>
    <row r="14" spans="1:159" s="20" customFormat="1" ht="16.5" thickTop="1" thickBot="1">
      <c r="A14" s="17"/>
      <c r="B14" s="17"/>
      <c r="C14" s="17"/>
      <c r="D14" s="17"/>
      <c r="E14" s="17"/>
      <c r="F14" s="261" t="s">
        <v>14</v>
      </c>
      <c r="G14" s="255" t="s">
        <v>15</v>
      </c>
      <c r="H14" s="254" t="s">
        <v>16</v>
      </c>
      <c r="I14" s="124"/>
      <c r="L14" s="125"/>
      <c r="M14" s="125"/>
      <c r="N14" s="125"/>
      <c r="O14" s="22"/>
    </row>
    <row r="15" spans="1:159" s="29" customFormat="1" ht="26.25" thickBot="1">
      <c r="A15" s="216" t="s">
        <v>183</v>
      </c>
      <c r="B15" s="138" t="s">
        <v>18</v>
      </c>
      <c r="C15" s="138" t="s">
        <v>902</v>
      </c>
      <c r="D15" s="217" t="s">
        <v>94</v>
      </c>
      <c r="E15" s="217" t="s">
        <v>22</v>
      </c>
      <c r="F15" s="217" t="s">
        <v>23</v>
      </c>
      <c r="G15" s="218" t="s">
        <v>23</v>
      </c>
      <c r="H15" s="217" t="s">
        <v>23</v>
      </c>
      <c r="I15" s="217" t="s">
        <v>25</v>
      </c>
      <c r="J15" s="217" t="s">
        <v>26</v>
      </c>
      <c r="K15" s="217" t="s">
        <v>27</v>
      </c>
      <c r="L15" s="705" t="s">
        <v>897</v>
      </c>
      <c r="M15" s="706"/>
      <c r="N15" s="217" t="s">
        <v>29</v>
      </c>
      <c r="O15" s="217" t="s">
        <v>30</v>
      </c>
      <c r="P15" s="217" t="s">
        <v>31</v>
      </c>
      <c r="Q15" s="219" t="s">
        <v>317</v>
      </c>
    </row>
    <row r="16" spans="1:159" s="243" customFormat="1" ht="66.75" customHeight="1">
      <c r="A16" s="414" t="s">
        <v>896</v>
      </c>
      <c r="B16" s="415">
        <v>43132</v>
      </c>
      <c r="C16" s="416" t="s">
        <v>184</v>
      </c>
      <c r="D16" s="416">
        <v>1</v>
      </c>
      <c r="E16" s="417" t="s">
        <v>185</v>
      </c>
      <c r="F16" s="418">
        <v>443368999</v>
      </c>
      <c r="G16" s="419">
        <f>329236773.32+32400916.16+81486563</f>
        <v>443124252.48000002</v>
      </c>
      <c r="H16" s="418">
        <f>F16-G16</f>
        <v>244746.51999998093</v>
      </c>
      <c r="I16" s="420" t="s">
        <v>796</v>
      </c>
      <c r="J16" s="584">
        <f t="shared" ref="J16:J23" si="0">G16/F16</f>
        <v>0.99944798458946837</v>
      </c>
      <c r="K16" s="585">
        <f t="shared" ref="K16:K21" si="1">J16</f>
        <v>0.99944798458946837</v>
      </c>
      <c r="L16" s="421" t="s">
        <v>187</v>
      </c>
      <c r="M16" s="422">
        <v>1</v>
      </c>
      <c r="N16" s="422">
        <v>877190</v>
      </c>
      <c r="O16" s="422" t="s">
        <v>186</v>
      </c>
      <c r="P16" s="422" t="s">
        <v>186</v>
      </c>
      <c r="Q16" s="422" t="s">
        <v>186</v>
      </c>
    </row>
    <row r="17" spans="1:17" s="192" customFormat="1" ht="99" customHeight="1">
      <c r="A17" s="414" t="s">
        <v>156</v>
      </c>
      <c r="B17" s="415">
        <v>43216</v>
      </c>
      <c r="C17" s="416" t="s">
        <v>318</v>
      </c>
      <c r="D17" s="423">
        <v>100</v>
      </c>
      <c r="E17" s="424" t="s">
        <v>319</v>
      </c>
      <c r="F17" s="418">
        <v>868247</v>
      </c>
      <c r="G17" s="425">
        <v>868247</v>
      </c>
      <c r="H17" s="418">
        <f>F17-G17</f>
        <v>0</v>
      </c>
      <c r="I17" s="420" t="s">
        <v>36</v>
      </c>
      <c r="J17" s="584">
        <f t="shared" si="0"/>
        <v>1</v>
      </c>
      <c r="K17" s="585">
        <f t="shared" si="1"/>
        <v>1</v>
      </c>
      <c r="L17" s="421" t="s">
        <v>320</v>
      </c>
      <c r="M17" s="422">
        <v>1</v>
      </c>
      <c r="N17" s="422">
        <v>787000</v>
      </c>
      <c r="O17" s="422" t="s">
        <v>186</v>
      </c>
      <c r="P17" s="422" t="s">
        <v>186</v>
      </c>
      <c r="Q17" s="422" t="s">
        <v>186</v>
      </c>
    </row>
    <row r="18" spans="1:17" s="192" customFormat="1" ht="63" customHeight="1">
      <c r="A18" s="414" t="s">
        <v>464</v>
      </c>
      <c r="B18" s="415">
        <v>43242</v>
      </c>
      <c r="C18" s="416" t="s">
        <v>465</v>
      </c>
      <c r="D18" s="416">
        <v>104</v>
      </c>
      <c r="E18" s="424" t="s">
        <v>466</v>
      </c>
      <c r="F18" s="418">
        <f>G18</f>
        <v>42747093.390000001</v>
      </c>
      <c r="G18" s="425">
        <f>42747093.39</f>
        <v>42747093.390000001</v>
      </c>
      <c r="H18" s="418">
        <f t="shared" ref="H18:H23" si="2">F18-G18</f>
        <v>0</v>
      </c>
      <c r="I18" s="420" t="s">
        <v>796</v>
      </c>
      <c r="J18" s="584">
        <f t="shared" si="0"/>
        <v>1</v>
      </c>
      <c r="K18" s="585">
        <f t="shared" si="1"/>
        <v>1</v>
      </c>
      <c r="L18" s="421" t="s">
        <v>467</v>
      </c>
      <c r="M18" s="422">
        <v>1</v>
      </c>
      <c r="N18" s="422">
        <v>797010</v>
      </c>
      <c r="O18" s="422" t="s">
        <v>186</v>
      </c>
      <c r="P18" s="422" t="s">
        <v>186</v>
      </c>
      <c r="Q18" s="422" t="s">
        <v>186</v>
      </c>
    </row>
    <row r="19" spans="1:17" s="192" customFormat="1" ht="72.75" customHeight="1">
      <c r="A19" s="221" t="s">
        <v>460</v>
      </c>
      <c r="B19" s="415">
        <v>43202</v>
      </c>
      <c r="C19" s="416" t="s">
        <v>322</v>
      </c>
      <c r="D19" s="416">
        <v>57</v>
      </c>
      <c r="E19" s="426" t="s">
        <v>323</v>
      </c>
      <c r="F19" s="418">
        <v>2490594</v>
      </c>
      <c r="G19" s="419">
        <v>2490593.9500000002</v>
      </c>
      <c r="H19" s="418">
        <f t="shared" si="2"/>
        <v>4.9999999813735485E-2</v>
      </c>
      <c r="I19" s="420" t="s">
        <v>796</v>
      </c>
      <c r="J19" s="584">
        <f t="shared" si="0"/>
        <v>0.99999997992446787</v>
      </c>
      <c r="K19" s="585">
        <f t="shared" si="1"/>
        <v>0.99999997992446787</v>
      </c>
      <c r="L19" s="421" t="s">
        <v>324</v>
      </c>
      <c r="M19" s="422">
        <v>4463</v>
      </c>
      <c r="N19" s="422">
        <v>4463</v>
      </c>
      <c r="O19" s="422" t="s">
        <v>541</v>
      </c>
      <c r="P19" s="422" t="s">
        <v>798</v>
      </c>
      <c r="Q19" s="422" t="s">
        <v>799</v>
      </c>
    </row>
    <row r="20" spans="1:17" s="192" customFormat="1" ht="74.25" customHeight="1">
      <c r="A20" s="221" t="s">
        <v>460</v>
      </c>
      <c r="B20" s="415">
        <v>43202</v>
      </c>
      <c r="C20" s="416" t="s">
        <v>325</v>
      </c>
      <c r="D20" s="416">
        <v>58</v>
      </c>
      <c r="E20" s="426" t="s">
        <v>326</v>
      </c>
      <c r="F20" s="418">
        <v>9345116</v>
      </c>
      <c r="G20" s="419">
        <v>9345116</v>
      </c>
      <c r="H20" s="418">
        <f t="shared" si="2"/>
        <v>0</v>
      </c>
      <c r="I20" s="420" t="s">
        <v>796</v>
      </c>
      <c r="J20" s="584">
        <f t="shared" si="0"/>
        <v>1</v>
      </c>
      <c r="K20" s="585">
        <f t="shared" si="1"/>
        <v>1</v>
      </c>
      <c r="L20" s="421" t="s">
        <v>324</v>
      </c>
      <c r="M20" s="422">
        <v>8177</v>
      </c>
      <c r="N20" s="422">
        <v>32708</v>
      </c>
      <c r="O20" s="422" t="s">
        <v>541</v>
      </c>
      <c r="P20" s="422" t="s">
        <v>273</v>
      </c>
      <c r="Q20" s="422" t="s">
        <v>273</v>
      </c>
    </row>
    <row r="21" spans="1:17" s="192" customFormat="1" ht="68.25" customHeight="1">
      <c r="A21" s="221" t="s">
        <v>460</v>
      </c>
      <c r="B21" s="415">
        <v>43202</v>
      </c>
      <c r="C21" s="416" t="s">
        <v>327</v>
      </c>
      <c r="D21" s="416">
        <v>59</v>
      </c>
      <c r="E21" s="426" t="s">
        <v>328</v>
      </c>
      <c r="F21" s="418">
        <f>G21</f>
        <v>15994707</v>
      </c>
      <c r="G21" s="419">
        <f>15260650+734057</f>
        <v>15994707</v>
      </c>
      <c r="H21" s="418">
        <f t="shared" si="2"/>
        <v>0</v>
      </c>
      <c r="I21" s="420" t="s">
        <v>796</v>
      </c>
      <c r="J21" s="584">
        <f t="shared" si="0"/>
        <v>1</v>
      </c>
      <c r="K21" s="585">
        <f t="shared" si="1"/>
        <v>1</v>
      </c>
      <c r="L21" s="421" t="s">
        <v>324</v>
      </c>
      <c r="M21" s="422">
        <v>86122</v>
      </c>
      <c r="N21" s="422">
        <v>13650</v>
      </c>
      <c r="O21" s="422" t="s">
        <v>541</v>
      </c>
      <c r="P21" s="422" t="s">
        <v>537</v>
      </c>
      <c r="Q21" s="422" t="s">
        <v>538</v>
      </c>
    </row>
    <row r="22" spans="1:17" s="192" customFormat="1" ht="63" customHeight="1">
      <c r="A22" s="221" t="s">
        <v>460</v>
      </c>
      <c r="B22" s="415">
        <v>43202</v>
      </c>
      <c r="C22" s="416" t="s">
        <v>329</v>
      </c>
      <c r="D22" s="416">
        <v>60</v>
      </c>
      <c r="E22" s="426" t="s">
        <v>330</v>
      </c>
      <c r="F22" s="418">
        <v>9513216</v>
      </c>
      <c r="G22" s="419">
        <v>9513215.6799999997</v>
      </c>
      <c r="H22" s="418">
        <f t="shared" si="2"/>
        <v>0.32000000029802322</v>
      </c>
      <c r="I22" s="420" t="s">
        <v>796</v>
      </c>
      <c r="J22" s="584">
        <f t="shared" si="0"/>
        <v>0.99999996636258437</v>
      </c>
      <c r="K22" s="585">
        <f>J22</f>
        <v>0.99999996636258437</v>
      </c>
      <c r="L22" s="421" t="s">
        <v>331</v>
      </c>
      <c r="M22" s="422">
        <v>72830</v>
      </c>
      <c r="N22" s="422">
        <v>72830</v>
      </c>
      <c r="O22" s="422" t="s">
        <v>541</v>
      </c>
      <c r="P22" s="422" t="s">
        <v>539</v>
      </c>
      <c r="Q22" s="422" t="s">
        <v>540</v>
      </c>
    </row>
    <row r="23" spans="1:17" s="192" customFormat="1" ht="82.5" customHeight="1">
      <c r="A23" s="414" t="s">
        <v>627</v>
      </c>
      <c r="B23" s="415">
        <v>43311</v>
      </c>
      <c r="C23" s="416" t="s">
        <v>628</v>
      </c>
      <c r="D23" s="416">
        <v>182</v>
      </c>
      <c r="E23" s="424" t="s">
        <v>629</v>
      </c>
      <c r="F23" s="418">
        <f>G23</f>
        <v>996655</v>
      </c>
      <c r="G23" s="425">
        <v>996655</v>
      </c>
      <c r="H23" s="418">
        <f t="shared" si="2"/>
        <v>0</v>
      </c>
      <c r="I23" s="420" t="s">
        <v>796</v>
      </c>
      <c r="J23" s="584">
        <f t="shared" si="0"/>
        <v>1</v>
      </c>
      <c r="K23" s="585">
        <f>J23</f>
        <v>1</v>
      </c>
      <c r="L23" s="421" t="s">
        <v>797</v>
      </c>
      <c r="M23" s="422">
        <v>5</v>
      </c>
      <c r="N23" s="422">
        <v>46</v>
      </c>
      <c r="O23" s="422"/>
      <c r="P23" s="422"/>
      <c r="Q23" s="422"/>
    </row>
    <row r="24" spans="1:17" s="29" customFormat="1" ht="13.5" thickBot="1">
      <c r="A24" s="140"/>
      <c r="B24" s="141"/>
      <c r="C24" s="141"/>
      <c r="D24" s="142"/>
      <c r="E24" s="178"/>
      <c r="F24" s="57"/>
      <c r="G24" s="144"/>
      <c r="H24" s="57"/>
      <c r="I24" s="146"/>
      <c r="J24" s="147"/>
      <c r="K24" s="148"/>
      <c r="L24" s="149"/>
      <c r="M24" s="146"/>
      <c r="N24" s="150"/>
      <c r="O24" s="150"/>
      <c r="P24" s="150"/>
      <c r="Q24" s="150"/>
    </row>
    <row r="25" spans="1:17" s="269" customFormat="1" ht="16.5" thickTop="1" thickBot="1">
      <c r="A25" s="268"/>
      <c r="B25" s="268"/>
      <c r="C25" s="268"/>
      <c r="D25" s="268"/>
      <c r="E25" s="259" t="s">
        <v>89</v>
      </c>
      <c r="F25" s="260">
        <f>SUM(F16:F23)</f>
        <v>525324627.38999999</v>
      </c>
      <c r="G25" s="260">
        <f>SUM(G16:G23)</f>
        <v>525079880.5</v>
      </c>
      <c r="H25" s="260">
        <f>SUM(H16:H23)</f>
        <v>244746.88999998104</v>
      </c>
      <c r="I25" s="320"/>
      <c r="J25" s="321"/>
      <c r="L25" s="322"/>
      <c r="M25" s="270"/>
      <c r="N25" s="270"/>
      <c r="O25" s="271"/>
    </row>
    <row r="26" spans="1:17" s="29" customFormat="1" ht="13.5" thickTop="1">
      <c r="A26" s="52"/>
      <c r="F26" s="54"/>
      <c r="G26" s="131"/>
      <c r="H26" s="131"/>
      <c r="I26" s="131"/>
      <c r="L26" s="130"/>
      <c r="M26" s="51"/>
      <c r="N26" s="51"/>
      <c r="O26" s="46"/>
    </row>
    <row r="27" spans="1:17" s="46" customFormat="1" ht="12.75">
      <c r="A27" s="56" t="s">
        <v>91</v>
      </c>
      <c r="B27" s="29"/>
      <c r="C27" s="29"/>
      <c r="D27" s="29"/>
      <c r="E27" s="29"/>
      <c r="F27" s="131"/>
      <c r="G27" s="131"/>
      <c r="H27" s="131"/>
      <c r="I27" s="131"/>
      <c r="J27" s="131"/>
      <c r="K27" s="29"/>
      <c r="L27" s="130"/>
      <c r="M27" s="51"/>
      <c r="N27" s="51"/>
      <c r="P27" s="29"/>
      <c r="Q27" s="29"/>
    </row>
    <row r="28" spans="1:17">
      <c r="G28" s="162"/>
    </row>
    <row r="29" spans="1:17">
      <c r="E29" s="1"/>
      <c r="F29" s="1"/>
    </row>
  </sheetData>
  <mergeCells count="12">
    <mergeCell ref="L15:M15"/>
    <mergeCell ref="C3:Q3"/>
    <mergeCell ref="C4:Q4"/>
    <mergeCell ref="C2:Q2"/>
    <mergeCell ref="H8:J8"/>
    <mergeCell ref="A10:B10"/>
    <mergeCell ref="A11:B11"/>
    <mergeCell ref="A12:B12"/>
    <mergeCell ref="A9:B9"/>
    <mergeCell ref="C5:Q5"/>
    <mergeCell ref="C6:Q6"/>
    <mergeCell ref="C7:Q7"/>
  </mergeCells>
  <pageMargins left="0.31496062992125984" right="0.31496062992125984" top="0.74803149606299213" bottom="0.74803149606299213" header="0.31496062992125984" footer="0.31496062992125984"/>
  <pageSetup scale="5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V42"/>
  <sheetViews>
    <sheetView workbookViewId="0">
      <selection activeCell="K7" sqref="K7:M7"/>
    </sheetView>
  </sheetViews>
  <sheetFormatPr baseColWidth="10" defaultRowHeight="15"/>
  <cols>
    <col min="1" max="1" width="10.28515625" customWidth="1"/>
    <col min="2" max="2" width="11" customWidth="1"/>
    <col min="3" max="3" width="17.5703125" customWidth="1"/>
    <col min="4" max="4" width="1.42578125" hidden="1" customWidth="1"/>
    <col min="5" max="5" width="9.140625" customWidth="1"/>
    <col min="6" max="6" width="31.28515625" customWidth="1"/>
    <col min="7" max="7" width="18" customWidth="1"/>
    <col min="8" max="8" width="18" hidden="1" customWidth="1"/>
    <col min="9" max="9" width="18" customWidth="1"/>
    <col min="10" max="10" width="18" hidden="1" customWidth="1"/>
    <col min="11" max="11" width="12.5703125" customWidth="1"/>
    <col min="12" max="12" width="18" customWidth="1"/>
    <col min="13" max="13" width="12.5703125" customWidth="1"/>
    <col min="14" max="14" width="14.28515625" customWidth="1"/>
    <col min="15" max="15" width="9.140625" bestFit="1" customWidth="1"/>
    <col min="16" max="16" width="8.42578125" bestFit="1" customWidth="1"/>
    <col min="17" max="17" width="8.42578125" customWidth="1"/>
    <col min="18" max="18" width="12.42578125" customWidth="1"/>
    <col min="19" max="19" width="14.5703125" customWidth="1"/>
    <col min="20" max="20" width="12.28515625" customWidth="1"/>
    <col min="21" max="21" width="12.5703125" customWidth="1"/>
    <col min="22" max="22" width="13.85546875" customWidth="1"/>
  </cols>
  <sheetData>
    <row r="2" spans="1:22" ht="20.25" customHeight="1">
      <c r="A2" s="661"/>
      <c r="B2" s="661"/>
      <c r="C2" s="785" t="s">
        <v>1317</v>
      </c>
      <c r="D2" s="785"/>
      <c r="E2" s="785"/>
      <c r="F2" s="785"/>
      <c r="G2" s="785"/>
      <c r="H2" s="785"/>
      <c r="I2" s="785"/>
      <c r="J2" s="785"/>
      <c r="K2" s="785"/>
      <c r="L2" s="785"/>
      <c r="M2" s="785"/>
      <c r="N2" s="785"/>
      <c r="O2" s="785"/>
      <c r="P2" s="785"/>
      <c r="Q2" s="785"/>
      <c r="R2" s="785"/>
      <c r="S2" s="785"/>
      <c r="T2" s="785"/>
      <c r="U2" s="785"/>
      <c r="V2" s="608"/>
    </row>
    <row r="3" spans="1:22" ht="22.5" customHeight="1">
      <c r="A3" s="661"/>
      <c r="B3" s="661"/>
      <c r="C3" s="785" t="s">
        <v>1324</v>
      </c>
      <c r="D3" s="785"/>
      <c r="E3" s="785"/>
      <c r="F3" s="785"/>
      <c r="G3" s="785"/>
      <c r="H3" s="785"/>
      <c r="I3" s="785"/>
      <c r="J3" s="785"/>
      <c r="K3" s="785"/>
      <c r="L3" s="785"/>
      <c r="M3" s="785"/>
      <c r="N3" s="785"/>
      <c r="O3" s="785"/>
      <c r="P3" s="785"/>
      <c r="Q3" s="785"/>
      <c r="R3" s="785"/>
      <c r="S3" s="785"/>
      <c r="T3" s="785"/>
      <c r="U3" s="785"/>
      <c r="V3" s="608"/>
    </row>
    <row r="4" spans="1:22" ht="20.25" customHeight="1">
      <c r="A4" s="661"/>
      <c r="B4" s="661"/>
      <c r="C4" s="784" t="s">
        <v>1035</v>
      </c>
      <c r="D4" s="784"/>
      <c r="E4" s="784"/>
      <c r="F4" s="784"/>
      <c r="G4" s="784"/>
      <c r="H4" s="784"/>
      <c r="I4" s="784"/>
      <c r="J4" s="784"/>
      <c r="K4" s="784"/>
      <c r="L4" s="784"/>
      <c r="M4" s="784"/>
      <c r="N4" s="784"/>
      <c r="O4" s="784"/>
      <c r="P4" s="784"/>
      <c r="Q4" s="784"/>
      <c r="R4" s="784"/>
      <c r="S4" s="784"/>
      <c r="T4" s="784"/>
      <c r="U4" s="784"/>
      <c r="V4" s="608"/>
    </row>
    <row r="5" spans="1:22" ht="21.75" customHeight="1">
      <c r="A5" s="661"/>
      <c r="B5" s="661"/>
      <c r="C5" s="668" t="s">
        <v>933</v>
      </c>
      <c r="D5" s="668"/>
      <c r="E5" s="668"/>
      <c r="F5" s="668"/>
      <c r="G5" s="668"/>
      <c r="H5" s="668"/>
      <c r="I5" s="668"/>
      <c r="J5" s="668"/>
      <c r="K5" s="668"/>
      <c r="L5" s="668"/>
      <c r="M5" s="668"/>
      <c r="N5" s="668"/>
      <c r="O5" s="668"/>
      <c r="P5" s="668"/>
      <c r="Q5" s="668"/>
      <c r="R5" s="668"/>
      <c r="S5" s="668"/>
      <c r="T5" s="668"/>
      <c r="U5" s="668"/>
      <c r="V5" s="668"/>
    </row>
    <row r="6" spans="1:22" ht="27.75" customHeight="1">
      <c r="A6" s="661"/>
      <c r="B6" s="661"/>
      <c r="C6" s="711" t="s">
        <v>1295</v>
      </c>
      <c r="D6" s="711"/>
      <c r="E6" s="711"/>
      <c r="F6" s="711"/>
      <c r="G6" s="711"/>
      <c r="H6" s="711"/>
      <c r="I6" s="711"/>
      <c r="J6" s="711"/>
      <c r="K6" s="711"/>
      <c r="L6" s="711"/>
      <c r="M6" s="711"/>
      <c r="N6" s="711"/>
      <c r="O6" s="711"/>
      <c r="P6" s="711"/>
      <c r="Q6" s="711"/>
      <c r="R6" s="711"/>
      <c r="S6" s="711"/>
      <c r="T6" s="711"/>
      <c r="U6" s="711"/>
      <c r="V6" s="711"/>
    </row>
    <row r="7" spans="1:22" s="11" customFormat="1" ht="26.25" customHeight="1" thickBot="1">
      <c r="A7" s="602"/>
      <c r="B7" s="602"/>
      <c r="C7" s="603"/>
      <c r="D7" s="603"/>
      <c r="E7" s="603"/>
      <c r="F7" s="603"/>
      <c r="G7" s="603"/>
      <c r="H7" s="603"/>
      <c r="I7" s="603"/>
      <c r="J7" s="603"/>
      <c r="K7" s="786" t="s">
        <v>1318</v>
      </c>
      <c r="L7" s="786"/>
      <c r="M7" s="786"/>
      <c r="N7" s="603"/>
      <c r="O7" s="603"/>
      <c r="P7" s="603"/>
      <c r="Q7" s="603"/>
      <c r="R7" s="603"/>
      <c r="S7" s="603"/>
      <c r="T7" s="603"/>
      <c r="U7" s="603"/>
      <c r="V7" s="603"/>
    </row>
    <row r="8" spans="1:22">
      <c r="A8" s="707" t="s">
        <v>114</v>
      </c>
      <c r="B8" s="708"/>
      <c r="C8" s="333">
        <v>54439518</v>
      </c>
      <c r="D8" s="329"/>
      <c r="E8" s="332"/>
      <c r="F8" s="121"/>
      <c r="I8" s="13"/>
    </row>
    <row r="9" spans="1:22" ht="15" customHeight="1">
      <c r="A9" s="709" t="s">
        <v>893</v>
      </c>
      <c r="B9" s="710"/>
      <c r="C9" s="306">
        <f>G23</f>
        <v>54385078.010000005</v>
      </c>
      <c r="D9" s="330"/>
      <c r="E9" s="328"/>
      <c r="F9" s="121"/>
      <c r="G9" s="566"/>
      <c r="H9" s="252"/>
      <c r="I9" s="252"/>
      <c r="J9" s="252"/>
    </row>
    <row r="10" spans="1:22" ht="15" customHeight="1">
      <c r="A10" s="709" t="s">
        <v>5</v>
      </c>
      <c r="B10" s="710"/>
      <c r="C10" s="306">
        <f>I23</f>
        <v>54439516.020000003</v>
      </c>
      <c r="D10" s="330"/>
      <c r="E10" s="328"/>
      <c r="F10" s="121"/>
      <c r="G10" s="252"/>
      <c r="H10" s="252"/>
      <c r="I10" s="252"/>
      <c r="J10" s="252"/>
    </row>
    <row r="11" spans="1:22" ht="15" customHeight="1" thickBot="1">
      <c r="A11" s="712" t="s">
        <v>13</v>
      </c>
      <c r="B11" s="713"/>
      <c r="C11" s="327">
        <f>K23</f>
        <v>1.5</v>
      </c>
      <c r="D11" s="331"/>
      <c r="E11" s="328"/>
      <c r="F11" s="121"/>
      <c r="G11" s="252"/>
      <c r="H11" s="252"/>
      <c r="I11" s="252"/>
      <c r="J11" s="252"/>
      <c r="K11" s="252"/>
      <c r="L11" s="252"/>
    </row>
    <row r="12" spans="1:22" ht="15" customHeight="1" thickBot="1">
      <c r="L12" s="62"/>
      <c r="O12" s="13"/>
      <c r="S12" s="16"/>
      <c r="U12" s="16"/>
      <c r="V12" s="139" t="s">
        <v>1039</v>
      </c>
    </row>
    <row r="13" spans="1:22" s="58" customFormat="1" ht="16.5" thickTop="1" thickBot="1">
      <c r="A13" s="63"/>
      <c r="B13" s="63"/>
      <c r="C13" s="63"/>
      <c r="D13" s="63"/>
      <c r="E13" s="63"/>
      <c r="F13" s="63"/>
      <c r="G13" s="64" t="s">
        <v>14</v>
      </c>
      <c r="H13" s="65"/>
      <c r="I13" s="66" t="s">
        <v>15</v>
      </c>
      <c r="J13" s="65"/>
      <c r="K13" s="67" t="s">
        <v>16</v>
      </c>
      <c r="L13" s="68"/>
      <c r="R13" s="69"/>
    </row>
    <row r="14" spans="1:22" s="58" customFormat="1" ht="37.5" customHeight="1" thickTop="1" thickBot="1">
      <c r="A14" s="70" t="s">
        <v>17</v>
      </c>
      <c r="B14" s="71" t="s">
        <v>18</v>
      </c>
      <c r="C14" s="71" t="s">
        <v>19</v>
      </c>
      <c r="D14" s="71" t="s">
        <v>93</v>
      </c>
      <c r="E14" s="71" t="s">
        <v>94</v>
      </c>
      <c r="F14" s="71" t="s">
        <v>22</v>
      </c>
      <c r="G14" s="72" t="s">
        <v>23</v>
      </c>
      <c r="H14" s="72" t="s">
        <v>898</v>
      </c>
      <c r="I14" s="72" t="s">
        <v>23</v>
      </c>
      <c r="J14" s="72" t="s">
        <v>898</v>
      </c>
      <c r="K14" s="72" t="s">
        <v>23</v>
      </c>
      <c r="L14" s="71" t="s">
        <v>25</v>
      </c>
      <c r="M14" s="71" t="s">
        <v>96</v>
      </c>
      <c r="N14" s="71" t="s">
        <v>97</v>
      </c>
      <c r="O14" s="669" t="s">
        <v>28</v>
      </c>
      <c r="P14" s="670"/>
      <c r="Q14" s="71" t="s">
        <v>29</v>
      </c>
      <c r="R14" s="71" t="s">
        <v>98</v>
      </c>
      <c r="S14" s="71" t="s">
        <v>31</v>
      </c>
      <c r="T14" s="74" t="s">
        <v>32</v>
      </c>
      <c r="U14" s="71" t="s">
        <v>31</v>
      </c>
      <c r="V14" s="74" t="s">
        <v>32</v>
      </c>
    </row>
    <row r="15" spans="1:22" s="58" customFormat="1" ht="89.1" customHeight="1">
      <c r="A15" s="221" t="s">
        <v>99</v>
      </c>
      <c r="B15" s="222">
        <v>43244</v>
      </c>
      <c r="C15" s="223" t="s">
        <v>396</v>
      </c>
      <c r="D15" s="224" t="s">
        <v>101</v>
      </c>
      <c r="E15" s="272" t="s">
        <v>397</v>
      </c>
      <c r="F15" s="273" t="s">
        <v>1200</v>
      </c>
      <c r="G15" s="215">
        <f t="shared" ref="G15:G20" si="0">H15</f>
        <v>9760548.5700000003</v>
      </c>
      <c r="H15" s="215">
        <v>9760548.5700000003</v>
      </c>
      <c r="I15" s="215">
        <f t="shared" ref="I15:I20" si="1">J15</f>
        <v>9760548.5700000003</v>
      </c>
      <c r="J15" s="215">
        <v>9760548.5700000003</v>
      </c>
      <c r="K15" s="288">
        <f t="shared" ref="K15:K20" si="2">G15-I15</f>
        <v>0</v>
      </c>
      <c r="L15" s="229" t="s">
        <v>104</v>
      </c>
      <c r="M15" s="474">
        <f t="shared" ref="M15:M20" si="3">I15/G15</f>
        <v>1</v>
      </c>
      <c r="N15" s="474">
        <v>1</v>
      </c>
      <c r="O15" s="231" t="s">
        <v>63</v>
      </c>
      <c r="P15" s="274">
        <v>7281.42</v>
      </c>
      <c r="Q15" s="233" t="s">
        <v>398</v>
      </c>
      <c r="R15" s="223" t="s">
        <v>679</v>
      </c>
      <c r="S15" s="223" t="s">
        <v>680</v>
      </c>
      <c r="T15" s="223" t="s">
        <v>681</v>
      </c>
      <c r="U15" s="223" t="s">
        <v>680</v>
      </c>
      <c r="V15" s="223" t="s">
        <v>681</v>
      </c>
    </row>
    <row r="16" spans="1:22" s="58" customFormat="1" ht="89.1" customHeight="1">
      <c r="A16" s="221" t="s">
        <v>99</v>
      </c>
      <c r="B16" s="222">
        <v>43244</v>
      </c>
      <c r="C16" s="223" t="s">
        <v>399</v>
      </c>
      <c r="D16" s="224" t="s">
        <v>101</v>
      </c>
      <c r="E16" s="272" t="s">
        <v>400</v>
      </c>
      <c r="F16" s="273" t="s">
        <v>401</v>
      </c>
      <c r="G16" s="215">
        <f t="shared" si="0"/>
        <v>9988245.4499999993</v>
      </c>
      <c r="H16" s="215">
        <v>9988245.4499999993</v>
      </c>
      <c r="I16" s="215">
        <f t="shared" si="1"/>
        <v>9988244.9700000007</v>
      </c>
      <c r="J16" s="215">
        <v>9988244.9700000007</v>
      </c>
      <c r="K16" s="289">
        <f t="shared" si="2"/>
        <v>0.47999999858438969</v>
      </c>
      <c r="L16" s="229" t="s">
        <v>104</v>
      </c>
      <c r="M16" s="474">
        <f t="shared" si="3"/>
        <v>0.99999995194351188</v>
      </c>
      <c r="N16" s="474">
        <v>1</v>
      </c>
      <c r="O16" s="231" t="s">
        <v>63</v>
      </c>
      <c r="P16" s="274">
        <v>7518</v>
      </c>
      <c r="Q16" s="233" t="s">
        <v>398</v>
      </c>
      <c r="R16" s="223" t="s">
        <v>679</v>
      </c>
      <c r="S16" s="223" t="s">
        <v>682</v>
      </c>
      <c r="T16" s="223" t="s">
        <v>683</v>
      </c>
      <c r="U16" s="223" t="s">
        <v>682</v>
      </c>
      <c r="V16" s="223" t="s">
        <v>683</v>
      </c>
    </row>
    <row r="17" spans="1:22" s="58" customFormat="1" ht="89.1" customHeight="1">
      <c r="A17" s="221" t="s">
        <v>99</v>
      </c>
      <c r="B17" s="222">
        <v>43244</v>
      </c>
      <c r="C17" s="223" t="s">
        <v>402</v>
      </c>
      <c r="D17" s="224" t="s">
        <v>101</v>
      </c>
      <c r="E17" s="272" t="s">
        <v>403</v>
      </c>
      <c r="F17" s="273" t="s">
        <v>404</v>
      </c>
      <c r="G17" s="215">
        <f t="shared" si="0"/>
        <v>9820818.3000000007</v>
      </c>
      <c r="H17" s="215">
        <v>9820818.3000000007</v>
      </c>
      <c r="I17" s="215">
        <f t="shared" si="1"/>
        <v>9820817.7799999993</v>
      </c>
      <c r="J17" s="215">
        <v>9820817.7799999993</v>
      </c>
      <c r="K17" s="289">
        <f t="shared" si="2"/>
        <v>0.52000000141561031</v>
      </c>
      <c r="L17" s="229" t="s">
        <v>104</v>
      </c>
      <c r="M17" s="474">
        <f t="shared" si="3"/>
        <v>0.99999994705125528</v>
      </c>
      <c r="N17" s="474">
        <v>1</v>
      </c>
      <c r="O17" s="231" t="s">
        <v>63</v>
      </c>
      <c r="P17" s="274">
        <v>5985</v>
      </c>
      <c r="Q17" s="233" t="s">
        <v>398</v>
      </c>
      <c r="R17" s="223" t="s">
        <v>679</v>
      </c>
      <c r="S17" s="223" t="s">
        <v>682</v>
      </c>
      <c r="T17" s="223" t="s">
        <v>684</v>
      </c>
      <c r="U17" s="223" t="s">
        <v>682</v>
      </c>
      <c r="V17" s="223" t="s">
        <v>684</v>
      </c>
    </row>
    <row r="18" spans="1:22" s="58" customFormat="1" ht="89.1" customHeight="1">
      <c r="A18" s="221" t="s">
        <v>99</v>
      </c>
      <c r="B18" s="222">
        <v>43244</v>
      </c>
      <c r="C18" s="223" t="s">
        <v>405</v>
      </c>
      <c r="D18" s="224" t="s">
        <v>101</v>
      </c>
      <c r="E18" s="272" t="s">
        <v>406</v>
      </c>
      <c r="F18" s="273" t="s">
        <v>407</v>
      </c>
      <c r="G18" s="215">
        <f t="shared" si="0"/>
        <v>9974096.6400000006</v>
      </c>
      <c r="H18" s="215">
        <v>9974096.6400000006</v>
      </c>
      <c r="I18" s="215">
        <f t="shared" si="1"/>
        <v>9974096.1400000006</v>
      </c>
      <c r="J18" s="215">
        <v>9974096.1400000006</v>
      </c>
      <c r="K18" s="289">
        <f t="shared" si="2"/>
        <v>0.5</v>
      </c>
      <c r="L18" s="229" t="s">
        <v>104</v>
      </c>
      <c r="M18" s="474">
        <f t="shared" si="3"/>
        <v>0.99999994987014684</v>
      </c>
      <c r="N18" s="474">
        <v>1</v>
      </c>
      <c r="O18" s="231" t="s">
        <v>63</v>
      </c>
      <c r="P18" s="274">
        <v>6728.33</v>
      </c>
      <c r="Q18" s="233" t="s">
        <v>398</v>
      </c>
      <c r="R18" s="223" t="s">
        <v>679</v>
      </c>
      <c r="S18" s="223" t="s">
        <v>685</v>
      </c>
      <c r="T18" s="223" t="s">
        <v>686</v>
      </c>
      <c r="U18" s="223" t="s">
        <v>685</v>
      </c>
      <c r="V18" s="223" t="s">
        <v>686</v>
      </c>
    </row>
    <row r="19" spans="1:22" s="58" customFormat="1" ht="89.1" customHeight="1">
      <c r="A19" s="221" t="s">
        <v>99</v>
      </c>
      <c r="B19" s="222">
        <v>43244</v>
      </c>
      <c r="C19" s="223" t="s">
        <v>408</v>
      </c>
      <c r="D19" s="224" t="s">
        <v>101</v>
      </c>
      <c r="E19" s="272" t="s">
        <v>807</v>
      </c>
      <c r="F19" s="273" t="s">
        <v>409</v>
      </c>
      <c r="G19" s="215">
        <f t="shared" si="0"/>
        <v>9846369.0500000007</v>
      </c>
      <c r="H19" s="215">
        <v>9846369.0500000007</v>
      </c>
      <c r="I19" s="215">
        <f t="shared" si="1"/>
        <v>9846369.0500000007</v>
      </c>
      <c r="J19" s="215">
        <v>9846369.0500000007</v>
      </c>
      <c r="K19" s="289">
        <f t="shared" si="2"/>
        <v>0</v>
      </c>
      <c r="L19" s="229" t="s">
        <v>104</v>
      </c>
      <c r="M19" s="474">
        <f t="shared" si="3"/>
        <v>1</v>
      </c>
      <c r="N19" s="474">
        <v>1</v>
      </c>
      <c r="O19" s="231" t="s">
        <v>63</v>
      </c>
      <c r="P19" s="274">
        <v>6728.33</v>
      </c>
      <c r="Q19" s="233" t="s">
        <v>398</v>
      </c>
      <c r="R19" s="223" t="s">
        <v>679</v>
      </c>
      <c r="S19" s="223" t="s">
        <v>687</v>
      </c>
      <c r="T19" s="223" t="s">
        <v>688</v>
      </c>
      <c r="U19" s="223" t="s">
        <v>687</v>
      </c>
      <c r="V19" s="223" t="s">
        <v>688</v>
      </c>
    </row>
    <row r="20" spans="1:22" s="58" customFormat="1" ht="89.1" customHeight="1">
      <c r="A20" s="505" t="s">
        <v>99</v>
      </c>
      <c r="B20" s="250">
        <v>43340</v>
      </c>
      <c r="C20" s="251" t="s">
        <v>770</v>
      </c>
      <c r="D20" s="506" t="s">
        <v>771</v>
      </c>
      <c r="E20" s="563" t="s">
        <v>772</v>
      </c>
      <c r="F20" s="564" t="s">
        <v>773</v>
      </c>
      <c r="G20" s="210">
        <f t="shared" si="0"/>
        <v>4995000</v>
      </c>
      <c r="H20" s="210">
        <v>4995000</v>
      </c>
      <c r="I20" s="210">
        <f t="shared" si="1"/>
        <v>4995000</v>
      </c>
      <c r="J20" s="210">
        <v>4995000</v>
      </c>
      <c r="K20" s="289">
        <f t="shared" si="2"/>
        <v>0</v>
      </c>
      <c r="L20" s="509" t="s">
        <v>104</v>
      </c>
      <c r="M20" s="586">
        <f t="shared" si="3"/>
        <v>1</v>
      </c>
      <c r="N20" s="586">
        <v>1</v>
      </c>
      <c r="O20" s="213" t="s">
        <v>37</v>
      </c>
      <c r="P20" s="212">
        <v>1</v>
      </c>
      <c r="Q20" s="285" t="s">
        <v>422</v>
      </c>
      <c r="R20" s="251" t="s">
        <v>679</v>
      </c>
      <c r="S20" s="251" t="s">
        <v>970</v>
      </c>
      <c r="T20" s="251" t="s">
        <v>1201</v>
      </c>
      <c r="U20" s="251" t="s">
        <v>1032</v>
      </c>
      <c r="V20" s="251" t="s">
        <v>1033</v>
      </c>
    </row>
    <row r="21" spans="1:22" s="565" customFormat="1" ht="27" customHeight="1">
      <c r="A21" s="359"/>
      <c r="B21" s="360"/>
      <c r="C21" s="369"/>
      <c r="D21" s="476"/>
      <c r="E21" s="562"/>
      <c r="F21" s="674" t="s">
        <v>391</v>
      </c>
      <c r="G21" s="674"/>
      <c r="H21" s="263"/>
      <c r="I21" s="263">
        <v>54439.51</v>
      </c>
      <c r="J21" s="263"/>
      <c r="K21" s="363"/>
      <c r="L21" s="364"/>
      <c r="M21" s="374"/>
      <c r="N21" s="374"/>
      <c r="O21" s="282"/>
      <c r="P21" s="264"/>
      <c r="Q21" s="368"/>
      <c r="R21" s="369"/>
      <c r="S21" s="369"/>
      <c r="T21" s="369"/>
      <c r="U21" s="369"/>
      <c r="V21" s="369"/>
    </row>
    <row r="22" spans="1:22" s="58" customFormat="1" ht="16.5" customHeight="1" thickBot="1">
      <c r="A22" s="682"/>
      <c r="B22" s="682"/>
      <c r="C22" s="682"/>
      <c r="D22" s="682"/>
      <c r="E22" s="682"/>
      <c r="F22" s="682"/>
      <c r="G22" s="79"/>
      <c r="H22" s="80"/>
      <c r="I22" s="83"/>
      <c r="J22" s="105"/>
      <c r="K22" s="154"/>
      <c r="L22" s="101"/>
      <c r="M22" s="87"/>
      <c r="N22" s="87"/>
      <c r="O22" s="88"/>
      <c r="P22" s="89"/>
      <c r="Q22" s="99"/>
      <c r="R22" s="91"/>
      <c r="S22" s="91"/>
      <c r="T22" s="91"/>
      <c r="U22" s="91"/>
      <c r="V22" s="91"/>
    </row>
    <row r="23" spans="1:22" s="58" customFormat="1" ht="31.5" customHeight="1" thickTop="1" thickBot="1">
      <c r="A23" s="92"/>
      <c r="B23" s="93"/>
      <c r="C23" s="91"/>
      <c r="D23" s="76"/>
      <c r="E23" s="106"/>
      <c r="F23" s="193" t="s">
        <v>89</v>
      </c>
      <c r="G23" s="214">
        <f>SUM(G15:G22)</f>
        <v>54385078.010000005</v>
      </c>
      <c r="H23" s="258">
        <f>SUM(H15:H20)</f>
        <v>54385078.010000005</v>
      </c>
      <c r="I23" s="258">
        <f>SUM(I15:I22)</f>
        <v>54439516.020000003</v>
      </c>
      <c r="J23" s="258">
        <f>SUM(J15:J22)</f>
        <v>54385076.510000005</v>
      </c>
      <c r="K23" s="258">
        <f>SUM(K15:K20)</f>
        <v>1.5</v>
      </c>
      <c r="L23" s="87"/>
      <c r="M23" s="87"/>
      <c r="N23" s="97"/>
      <c r="O23" s="98"/>
      <c r="P23" s="89"/>
      <c r="Q23" s="99"/>
      <c r="R23" s="91"/>
      <c r="S23" s="91"/>
      <c r="T23" s="91"/>
      <c r="U23" s="91"/>
      <c r="V23" s="91"/>
    </row>
    <row r="24" spans="1:22" s="58" customFormat="1" ht="13.5" customHeight="1" thickTop="1">
      <c r="A24" s="675"/>
      <c r="B24" s="675"/>
      <c r="C24" s="675"/>
      <c r="D24" s="675"/>
      <c r="E24" s="675"/>
      <c r="F24" s="675"/>
      <c r="G24" s="57"/>
      <c r="H24" s="80"/>
      <c r="I24" s="83"/>
      <c r="J24" s="105"/>
      <c r="K24" s="84"/>
      <c r="L24" s="101"/>
      <c r="M24" s="87"/>
      <c r="N24" s="87"/>
      <c r="O24" s="98"/>
      <c r="P24" s="89"/>
      <c r="Q24" s="99"/>
      <c r="R24" s="91"/>
      <c r="S24" s="91"/>
      <c r="T24" s="91"/>
      <c r="U24" s="91"/>
      <c r="V24" s="91"/>
    </row>
    <row r="25" spans="1:22" s="58" customFormat="1" ht="12.75">
      <c r="A25" s="485"/>
      <c r="B25" s="485"/>
      <c r="C25" s="485"/>
      <c r="D25" s="485"/>
      <c r="E25" s="485"/>
      <c r="F25" s="485"/>
      <c r="G25" s="57"/>
      <c r="H25" s="80"/>
      <c r="I25" s="83"/>
      <c r="J25" s="105"/>
      <c r="K25" s="84"/>
      <c r="L25" s="101"/>
      <c r="M25" s="87"/>
      <c r="N25" s="87"/>
      <c r="O25" s="98"/>
      <c r="P25" s="89"/>
      <c r="Q25" s="99"/>
      <c r="R25" s="91"/>
      <c r="S25" s="91"/>
      <c r="T25" s="91"/>
      <c r="U25" s="91"/>
      <c r="V25" s="91"/>
    </row>
    <row r="26" spans="1:22">
      <c r="A26" s="56" t="s">
        <v>91</v>
      </c>
      <c r="I26" s="60"/>
      <c r="J26" s="105"/>
      <c r="O26" s="59"/>
      <c r="P26" s="102"/>
    </row>
    <row r="27" spans="1:22">
      <c r="J27" s="105"/>
    </row>
    <row r="28" spans="1:22">
      <c r="F28" s="257"/>
      <c r="J28" s="105"/>
    </row>
    <row r="42" spans="5:5">
      <c r="E42" s="3"/>
    </row>
  </sheetData>
  <mergeCells count="15">
    <mergeCell ref="A22:F22"/>
    <mergeCell ref="A24:F24"/>
    <mergeCell ref="A10:B10"/>
    <mergeCell ref="A11:B11"/>
    <mergeCell ref="O14:P14"/>
    <mergeCell ref="F21:G21"/>
    <mergeCell ref="C4:U4"/>
    <mergeCell ref="K7:M7"/>
    <mergeCell ref="A2:B6"/>
    <mergeCell ref="A8:B8"/>
    <mergeCell ref="A9:B9"/>
    <mergeCell ref="C5:V5"/>
    <mergeCell ref="C6:V6"/>
    <mergeCell ref="C2:U2"/>
    <mergeCell ref="C3:U3"/>
  </mergeCells>
  <pageMargins left="0.31496062992125984" right="0.31496062992125984" top="0.74803149606299213" bottom="0.74803149606299213" header="0.31496062992125984" footer="0.31496062992125984"/>
  <pageSetup scale="4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V37"/>
  <sheetViews>
    <sheetView workbookViewId="0">
      <selection activeCell="J7" sqref="J7:L7"/>
    </sheetView>
  </sheetViews>
  <sheetFormatPr baseColWidth="10" defaultRowHeight="15"/>
  <cols>
    <col min="1" max="1" width="10.28515625" customWidth="1"/>
    <col min="2" max="2" width="11" customWidth="1"/>
    <col min="3" max="3" width="15.85546875" customWidth="1"/>
    <col min="4" max="4" width="7.5703125" customWidth="1"/>
    <col min="5" max="5" width="24.28515625" customWidth="1"/>
    <col min="6" max="6" width="18.7109375" customWidth="1"/>
    <col min="7" max="7" width="18.7109375" hidden="1" customWidth="1"/>
    <col min="8" max="8" width="18.7109375" customWidth="1"/>
    <col min="9" max="9" width="18.7109375" hidden="1" customWidth="1"/>
    <col min="10" max="10" width="18.7109375" customWidth="1"/>
    <col min="11" max="11" width="14.28515625" customWidth="1"/>
    <col min="12" max="12" width="9.140625" bestFit="1" customWidth="1"/>
    <col min="13" max="13" width="8.42578125" bestFit="1" customWidth="1"/>
    <col min="14" max="14" width="8.42578125" customWidth="1"/>
    <col min="15" max="15" width="8.7109375" customWidth="1"/>
    <col min="16" max="16" width="12.85546875" customWidth="1"/>
    <col min="17" max="17" width="11.42578125" customWidth="1"/>
    <col min="18" max="18" width="21.42578125" customWidth="1"/>
    <col min="19" max="19" width="13.85546875" customWidth="1"/>
  </cols>
  <sheetData>
    <row r="2" spans="1:22" ht="21" customHeight="1">
      <c r="C2" s="785" t="s">
        <v>1317</v>
      </c>
      <c r="D2" s="785"/>
      <c r="E2" s="785"/>
      <c r="F2" s="785"/>
      <c r="G2" s="785"/>
      <c r="H2" s="785"/>
      <c r="I2" s="785"/>
      <c r="J2" s="785"/>
      <c r="K2" s="785"/>
      <c r="L2" s="785"/>
      <c r="M2" s="785"/>
      <c r="N2" s="785"/>
      <c r="O2" s="785"/>
      <c r="P2" s="785"/>
      <c r="Q2" s="785"/>
      <c r="R2" s="785"/>
      <c r="S2" s="785"/>
      <c r="T2" s="790"/>
      <c r="U2" s="790"/>
      <c r="V2" s="788"/>
    </row>
    <row r="3" spans="1:22" ht="20.25" customHeight="1">
      <c r="A3" s="661"/>
      <c r="B3" s="661"/>
      <c r="C3" s="785" t="s">
        <v>1324</v>
      </c>
      <c r="D3" s="785"/>
      <c r="E3" s="785"/>
      <c r="F3" s="785"/>
      <c r="G3" s="785"/>
      <c r="H3" s="785"/>
      <c r="I3" s="785"/>
      <c r="J3" s="785"/>
      <c r="K3" s="785"/>
      <c r="L3" s="785"/>
      <c r="M3" s="785"/>
      <c r="N3" s="785"/>
      <c r="O3" s="785"/>
      <c r="P3" s="785"/>
      <c r="Q3" s="785"/>
      <c r="R3" s="785"/>
      <c r="S3" s="785"/>
      <c r="T3" s="790"/>
      <c r="U3" s="790"/>
      <c r="V3" s="788"/>
    </row>
    <row r="4" spans="1:22" ht="21" customHeight="1">
      <c r="A4" s="661"/>
      <c r="B4" s="661"/>
      <c r="C4" s="784" t="s">
        <v>1035</v>
      </c>
      <c r="D4" s="784"/>
      <c r="E4" s="784"/>
      <c r="F4" s="784"/>
      <c r="G4" s="784"/>
      <c r="H4" s="784"/>
      <c r="I4" s="784"/>
      <c r="J4" s="784"/>
      <c r="K4" s="784"/>
      <c r="L4" s="784"/>
      <c r="M4" s="784"/>
      <c r="N4" s="784"/>
      <c r="O4" s="784"/>
      <c r="P4" s="784"/>
      <c r="Q4" s="784"/>
      <c r="R4" s="784"/>
      <c r="S4" s="784"/>
      <c r="T4" s="793"/>
      <c r="U4" s="793"/>
      <c r="V4" s="788"/>
    </row>
    <row r="5" spans="1:22" ht="21.75" customHeight="1">
      <c r="A5" s="661"/>
      <c r="B5" s="661"/>
      <c r="C5" s="668" t="s">
        <v>933</v>
      </c>
      <c r="D5" s="668"/>
      <c r="E5" s="668"/>
      <c r="F5" s="668"/>
      <c r="G5" s="668"/>
      <c r="H5" s="668"/>
      <c r="I5" s="668"/>
      <c r="J5" s="668"/>
      <c r="K5" s="668"/>
      <c r="L5" s="668"/>
      <c r="M5" s="668"/>
      <c r="N5" s="668"/>
      <c r="O5" s="668"/>
      <c r="P5" s="668"/>
      <c r="Q5" s="668"/>
      <c r="R5" s="668"/>
      <c r="S5" s="668"/>
      <c r="T5" s="788"/>
      <c r="U5" s="788"/>
      <c r="V5" s="788"/>
    </row>
    <row r="6" spans="1:22" ht="25.5" customHeight="1">
      <c r="A6" s="661"/>
      <c r="B6" s="661"/>
      <c r="C6" s="714" t="s">
        <v>934</v>
      </c>
      <c r="D6" s="714"/>
      <c r="E6" s="714"/>
      <c r="F6" s="714"/>
      <c r="G6" s="714"/>
      <c r="H6" s="714"/>
      <c r="I6" s="714"/>
      <c r="J6" s="714"/>
      <c r="K6" s="714"/>
      <c r="L6" s="714"/>
      <c r="M6" s="714"/>
      <c r="N6" s="714"/>
      <c r="O6" s="714"/>
      <c r="P6" s="714"/>
      <c r="Q6" s="714"/>
      <c r="R6" s="714"/>
      <c r="S6" s="714"/>
    </row>
    <row r="7" spans="1:22" ht="19.5" thickBot="1">
      <c r="A7" s="13"/>
      <c r="H7" s="13"/>
      <c r="J7" s="786" t="s">
        <v>1318</v>
      </c>
      <c r="K7" s="786"/>
      <c r="L7" s="786"/>
    </row>
    <row r="8" spans="1:22">
      <c r="A8" s="290" t="s">
        <v>114</v>
      </c>
      <c r="B8" s="291"/>
      <c r="C8" s="296">
        <v>5000000</v>
      </c>
      <c r="D8" s="328"/>
      <c r="E8" s="294"/>
      <c r="H8" s="13"/>
    </row>
    <row r="9" spans="1:22" ht="15" customHeight="1">
      <c r="A9" s="292" t="s">
        <v>893</v>
      </c>
      <c r="B9" s="293"/>
      <c r="C9" s="297">
        <f>F18</f>
        <v>4995000</v>
      </c>
      <c r="D9" s="328"/>
      <c r="E9" s="294"/>
      <c r="F9" s="252"/>
      <c r="G9" s="252"/>
      <c r="H9" s="252"/>
      <c r="I9" s="252"/>
    </row>
    <row r="10" spans="1:22" ht="15" customHeight="1">
      <c r="A10" s="292" t="s">
        <v>5</v>
      </c>
      <c r="B10" s="293"/>
      <c r="C10" s="297">
        <f>H18</f>
        <v>5000000</v>
      </c>
      <c r="D10" s="328"/>
      <c r="E10" s="294"/>
      <c r="F10" s="252"/>
      <c r="G10" s="252"/>
      <c r="H10" s="252"/>
      <c r="I10" s="252"/>
    </row>
    <row r="11" spans="1:22" ht="15" customHeight="1" thickBot="1">
      <c r="A11" s="715" t="s">
        <v>13</v>
      </c>
      <c r="B11" s="716"/>
      <c r="C11" s="334">
        <f>J18</f>
        <v>0</v>
      </c>
      <c r="D11" s="328"/>
      <c r="E11" s="294"/>
      <c r="F11" s="252"/>
      <c r="G11" s="252"/>
      <c r="H11" s="252"/>
      <c r="I11" s="252"/>
    </row>
    <row r="12" spans="1:22" ht="15" customHeight="1" thickBot="1">
      <c r="K12" s="62"/>
      <c r="N12" s="13"/>
      <c r="R12" s="16"/>
      <c r="S12" s="16" t="s">
        <v>1039</v>
      </c>
    </row>
    <row r="13" spans="1:22" s="58" customFormat="1" ht="16.5" thickTop="1" thickBot="1">
      <c r="A13" s="63"/>
      <c r="B13" s="63"/>
      <c r="C13" s="63"/>
      <c r="D13" s="63"/>
      <c r="E13" s="63"/>
      <c r="F13" s="64" t="s">
        <v>14</v>
      </c>
      <c r="G13" s="65"/>
      <c r="H13" s="66" t="s">
        <v>15</v>
      </c>
      <c r="I13" s="65"/>
      <c r="J13" s="67" t="s">
        <v>16</v>
      </c>
      <c r="K13" s="68"/>
      <c r="Q13" s="69"/>
    </row>
    <row r="14" spans="1:22" s="58" customFormat="1" ht="37.5" customHeight="1" thickTop="1" thickBot="1">
      <c r="A14" s="70" t="s">
        <v>17</v>
      </c>
      <c r="B14" s="71" t="s">
        <v>18</v>
      </c>
      <c r="C14" s="71" t="s">
        <v>19</v>
      </c>
      <c r="D14" s="71" t="s">
        <v>94</v>
      </c>
      <c r="E14" s="71" t="s">
        <v>22</v>
      </c>
      <c r="F14" s="72" t="s">
        <v>23</v>
      </c>
      <c r="G14" s="72" t="s">
        <v>898</v>
      </c>
      <c r="H14" s="72" t="s">
        <v>23</v>
      </c>
      <c r="I14" s="72" t="s">
        <v>898</v>
      </c>
      <c r="J14" s="72" t="s">
        <v>23</v>
      </c>
      <c r="K14" s="71" t="s">
        <v>25</v>
      </c>
      <c r="L14" s="71" t="s">
        <v>96</v>
      </c>
      <c r="M14" s="71" t="s">
        <v>97</v>
      </c>
      <c r="N14" s="669" t="s">
        <v>28</v>
      </c>
      <c r="O14" s="670"/>
      <c r="P14" s="71" t="s">
        <v>29</v>
      </c>
      <c r="Q14" s="71" t="s">
        <v>98</v>
      </c>
      <c r="R14" s="71" t="s">
        <v>31</v>
      </c>
      <c r="S14" s="74" t="s">
        <v>32</v>
      </c>
    </row>
    <row r="15" spans="1:22" s="236" customFormat="1" ht="87.75" customHeight="1">
      <c r="A15" s="567" t="s">
        <v>99</v>
      </c>
      <c r="B15" s="390">
        <v>43364</v>
      </c>
      <c r="C15" s="391" t="s">
        <v>838</v>
      </c>
      <c r="D15" s="393" t="s">
        <v>839</v>
      </c>
      <c r="E15" s="394" t="s">
        <v>840</v>
      </c>
      <c r="F15" s="201">
        <f t="shared" ref="F15" si="0">G15</f>
        <v>4995000</v>
      </c>
      <c r="G15" s="201">
        <v>4995000</v>
      </c>
      <c r="H15" s="201">
        <v>4995000</v>
      </c>
      <c r="I15" s="201">
        <v>1229639.8999999999</v>
      </c>
      <c r="J15" s="201">
        <f t="shared" ref="J15" si="1">F15-H15</f>
        <v>0</v>
      </c>
      <c r="K15" s="396" t="s">
        <v>104</v>
      </c>
      <c r="L15" s="582">
        <f t="shared" ref="L15" si="2">H15/F15</f>
        <v>1</v>
      </c>
      <c r="M15" s="582">
        <v>0.2</v>
      </c>
      <c r="N15" s="204" t="s">
        <v>37</v>
      </c>
      <c r="O15" s="203">
        <v>1</v>
      </c>
      <c r="P15" s="397" t="s">
        <v>841</v>
      </c>
      <c r="Q15" s="391" t="s">
        <v>679</v>
      </c>
      <c r="R15" s="391" t="s">
        <v>894</v>
      </c>
      <c r="S15" s="391" t="s">
        <v>895</v>
      </c>
    </row>
    <row r="16" spans="1:22" s="236" customFormat="1" ht="38.25" customHeight="1">
      <c r="A16" s="359"/>
      <c r="B16" s="360"/>
      <c r="C16" s="369"/>
      <c r="D16" s="562"/>
      <c r="E16" s="717" t="s">
        <v>391</v>
      </c>
      <c r="F16" s="717"/>
      <c r="G16" s="263"/>
      <c r="H16" s="263">
        <v>5000</v>
      </c>
      <c r="I16" s="263"/>
      <c r="J16" s="263"/>
      <c r="K16" s="364"/>
      <c r="L16" s="374"/>
      <c r="M16" s="374"/>
      <c r="N16" s="282"/>
      <c r="O16" s="264"/>
      <c r="P16" s="368"/>
      <c r="Q16" s="369"/>
      <c r="R16" s="369"/>
      <c r="S16" s="369"/>
    </row>
    <row r="17" spans="1:19" s="58" customFormat="1" ht="16.5" customHeight="1" thickBot="1">
      <c r="A17" s="682"/>
      <c r="B17" s="682"/>
      <c r="C17" s="682"/>
      <c r="D17" s="682"/>
      <c r="E17" s="682"/>
      <c r="F17" s="79"/>
      <c r="G17" s="80"/>
      <c r="H17" s="83"/>
      <c r="I17" s="105"/>
      <c r="J17" s="154"/>
      <c r="K17" s="101"/>
      <c r="L17" s="87"/>
      <c r="M17" s="87"/>
      <c r="N17" s="88"/>
      <c r="O17" s="89"/>
      <c r="P17" s="99"/>
      <c r="Q17" s="91"/>
      <c r="R17" s="91"/>
      <c r="S17" s="91"/>
    </row>
    <row r="18" spans="1:19" s="58" customFormat="1" ht="31.5" customHeight="1" thickBot="1">
      <c r="A18" s="92"/>
      <c r="B18" s="93"/>
      <c r="C18" s="91"/>
      <c r="D18" s="106"/>
      <c r="E18" s="286" t="s">
        <v>89</v>
      </c>
      <c r="F18" s="427">
        <f>SUM(F15:F17)</f>
        <v>4995000</v>
      </c>
      <c r="G18" s="428">
        <f>SUM(G15:G15)</f>
        <v>4995000</v>
      </c>
      <c r="H18" s="428">
        <f>SUM(H15:H17)</f>
        <v>5000000</v>
      </c>
      <c r="I18" s="428">
        <f>SUM(I15:I17)</f>
        <v>1229639.8999999999</v>
      </c>
      <c r="J18" s="429">
        <f>SUM(J15:J15)</f>
        <v>0</v>
      </c>
      <c r="K18" s="87"/>
      <c r="L18" s="87"/>
      <c r="M18" s="97"/>
      <c r="N18" s="98"/>
      <c r="O18" s="89"/>
      <c r="P18" s="99"/>
      <c r="Q18" s="91"/>
      <c r="R18" s="91"/>
      <c r="S18" s="91"/>
    </row>
    <row r="19" spans="1:19" s="58" customFormat="1" ht="13.5" customHeight="1">
      <c r="A19" s="664"/>
      <c r="B19" s="664"/>
      <c r="C19" s="664"/>
      <c r="D19" s="664"/>
      <c r="E19" s="664"/>
      <c r="F19" s="57"/>
      <c r="G19" s="80"/>
      <c r="H19" s="83"/>
      <c r="I19" s="105"/>
      <c r="J19" s="84"/>
      <c r="K19" s="101"/>
      <c r="L19" s="87"/>
      <c r="M19" s="87"/>
      <c r="N19" s="98"/>
      <c r="O19" s="89"/>
      <c r="P19" s="99"/>
      <c r="Q19" s="91"/>
      <c r="R19" s="91"/>
      <c r="S19" s="91"/>
    </row>
    <row r="20" spans="1:19" s="58" customFormat="1" ht="12.75">
      <c r="A20" s="485"/>
      <c r="B20" s="485"/>
      <c r="C20" s="485"/>
      <c r="D20" s="485"/>
      <c r="E20" s="485"/>
      <c r="F20" s="57"/>
      <c r="G20" s="80"/>
      <c r="H20" s="83"/>
      <c r="I20" s="105"/>
      <c r="J20" s="84"/>
      <c r="K20" s="101"/>
      <c r="L20" s="87"/>
      <c r="M20" s="87"/>
      <c r="N20" s="98"/>
      <c r="O20" s="89"/>
      <c r="P20" s="99"/>
      <c r="Q20" s="91"/>
      <c r="R20" s="91"/>
      <c r="S20" s="91"/>
    </row>
    <row r="21" spans="1:19">
      <c r="A21" s="56" t="s">
        <v>91</v>
      </c>
      <c r="H21" s="60"/>
      <c r="I21" s="105"/>
      <c r="N21" s="59"/>
      <c r="O21" s="102"/>
    </row>
    <row r="22" spans="1:19">
      <c r="I22" s="105"/>
    </row>
    <row r="23" spans="1:19">
      <c r="E23" s="257"/>
      <c r="I23" s="105"/>
    </row>
    <row r="37" spans="4:4">
      <c r="D37" s="3"/>
    </row>
  </sheetData>
  <mergeCells count="12">
    <mergeCell ref="A19:E19"/>
    <mergeCell ref="A17:E17"/>
    <mergeCell ref="C3:S3"/>
    <mergeCell ref="E16:F16"/>
    <mergeCell ref="N14:O14"/>
    <mergeCell ref="C4:S4"/>
    <mergeCell ref="J7:L7"/>
    <mergeCell ref="C2:S2"/>
    <mergeCell ref="C6:S6"/>
    <mergeCell ref="A3:B6"/>
    <mergeCell ref="A11:B11"/>
    <mergeCell ref="C5:S5"/>
  </mergeCells>
  <pageMargins left="0.31496062992125984" right="0.31496062992125984" top="0.74803149606299213" bottom="0.74803149606299213" header="0.31496062992125984" footer="0.31496062992125984"/>
  <pageSetup scale="56"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6"/>
  <sheetViews>
    <sheetView workbookViewId="0">
      <selection activeCell="F9" sqref="F9"/>
    </sheetView>
  </sheetViews>
  <sheetFormatPr baseColWidth="10" defaultRowHeight="15"/>
  <cols>
    <col min="1" max="1" width="9.5703125" customWidth="1"/>
    <col min="2" max="2" width="13" customWidth="1"/>
    <col min="3" max="3" width="17" customWidth="1"/>
    <col min="4" max="4" width="13.5703125" hidden="1" customWidth="1"/>
    <col min="5" max="5" width="13.140625" customWidth="1"/>
    <col min="6" max="6" width="29.28515625" customWidth="1"/>
    <col min="7" max="7" width="17.85546875" customWidth="1"/>
    <col min="8" max="8" width="12.7109375" hidden="1" customWidth="1"/>
    <col min="9" max="9" width="13" hidden="1" customWidth="1"/>
    <col min="10" max="10" width="15.140625" customWidth="1"/>
    <col min="11" max="11" width="11.5703125" hidden="1" customWidth="1"/>
    <col min="12" max="12" width="11.42578125" hidden="1" customWidth="1"/>
    <col min="14" max="15" width="11.42578125" hidden="1" customWidth="1"/>
    <col min="29" max="29" width="11.42578125" style="3"/>
    <col min="219" max="219" width="28.85546875" customWidth="1"/>
    <col min="221" max="222" width="0" hidden="1" customWidth="1"/>
    <col min="224" max="225" width="0" hidden="1" customWidth="1"/>
    <col min="227" max="228" width="0" hidden="1" customWidth="1"/>
    <col min="475" max="475" width="28.85546875" customWidth="1"/>
    <col min="477" max="478" width="0" hidden="1" customWidth="1"/>
    <col min="480" max="481" width="0" hidden="1" customWidth="1"/>
    <col min="483" max="484" width="0" hidden="1" customWidth="1"/>
    <col min="731" max="731" width="28.85546875" customWidth="1"/>
    <col min="733" max="734" width="0" hidden="1" customWidth="1"/>
    <col min="736" max="737" width="0" hidden="1" customWidth="1"/>
    <col min="739" max="740" width="0" hidden="1" customWidth="1"/>
    <col min="987" max="987" width="28.85546875" customWidth="1"/>
    <col min="989" max="990" width="0" hidden="1" customWidth="1"/>
    <col min="992" max="993" width="0" hidden="1" customWidth="1"/>
    <col min="995" max="996" width="0" hidden="1" customWidth="1"/>
    <col min="1243" max="1243" width="28.85546875" customWidth="1"/>
    <col min="1245" max="1246" width="0" hidden="1" customWidth="1"/>
    <col min="1248" max="1249" width="0" hidden="1" customWidth="1"/>
    <col min="1251" max="1252" width="0" hidden="1" customWidth="1"/>
    <col min="1499" max="1499" width="28.85546875" customWidth="1"/>
    <col min="1501" max="1502" width="0" hidden="1" customWidth="1"/>
    <col min="1504" max="1505" width="0" hidden="1" customWidth="1"/>
    <col min="1507" max="1508" width="0" hidden="1" customWidth="1"/>
    <col min="1755" max="1755" width="28.85546875" customWidth="1"/>
    <col min="1757" max="1758" width="0" hidden="1" customWidth="1"/>
    <col min="1760" max="1761" width="0" hidden="1" customWidth="1"/>
    <col min="1763" max="1764" width="0" hidden="1" customWidth="1"/>
    <col min="2011" max="2011" width="28.85546875" customWidth="1"/>
    <col min="2013" max="2014" width="0" hidden="1" customWidth="1"/>
    <col min="2016" max="2017" width="0" hidden="1" customWidth="1"/>
    <col min="2019" max="2020" width="0" hidden="1" customWidth="1"/>
    <col min="2267" max="2267" width="28.85546875" customWidth="1"/>
    <col min="2269" max="2270" width="0" hidden="1" customWidth="1"/>
    <col min="2272" max="2273" width="0" hidden="1" customWidth="1"/>
    <col min="2275" max="2276" width="0" hidden="1" customWidth="1"/>
    <col min="2523" max="2523" width="28.85546875" customWidth="1"/>
    <col min="2525" max="2526" width="0" hidden="1" customWidth="1"/>
    <col min="2528" max="2529" width="0" hidden="1" customWidth="1"/>
    <col min="2531" max="2532" width="0" hidden="1" customWidth="1"/>
    <col min="2779" max="2779" width="28.85546875" customWidth="1"/>
    <col min="2781" max="2782" width="0" hidden="1" customWidth="1"/>
    <col min="2784" max="2785" width="0" hidden="1" customWidth="1"/>
    <col min="2787" max="2788" width="0" hidden="1" customWidth="1"/>
    <col min="3035" max="3035" width="28.85546875" customWidth="1"/>
    <col min="3037" max="3038" width="0" hidden="1" customWidth="1"/>
    <col min="3040" max="3041" width="0" hidden="1" customWidth="1"/>
    <col min="3043" max="3044" width="0" hidden="1" customWidth="1"/>
    <col min="3291" max="3291" width="28.85546875" customWidth="1"/>
    <col min="3293" max="3294" width="0" hidden="1" customWidth="1"/>
    <col min="3296" max="3297" width="0" hidden="1" customWidth="1"/>
    <col min="3299" max="3300" width="0" hidden="1" customWidth="1"/>
    <col min="3547" max="3547" width="28.85546875" customWidth="1"/>
    <col min="3549" max="3550" width="0" hidden="1" customWidth="1"/>
    <col min="3552" max="3553" width="0" hidden="1" customWidth="1"/>
    <col min="3555" max="3556" width="0" hidden="1" customWidth="1"/>
    <col min="3803" max="3803" width="28.85546875" customWidth="1"/>
    <col min="3805" max="3806" width="0" hidden="1" customWidth="1"/>
    <col min="3808" max="3809" width="0" hidden="1" customWidth="1"/>
    <col min="3811" max="3812" width="0" hidden="1" customWidth="1"/>
    <col min="4059" max="4059" width="28.85546875" customWidth="1"/>
    <col min="4061" max="4062" width="0" hidden="1" customWidth="1"/>
    <col min="4064" max="4065" width="0" hidden="1" customWidth="1"/>
    <col min="4067" max="4068" width="0" hidden="1" customWidth="1"/>
    <col min="4315" max="4315" width="28.85546875" customWidth="1"/>
    <col min="4317" max="4318" width="0" hidden="1" customWidth="1"/>
    <col min="4320" max="4321" width="0" hidden="1" customWidth="1"/>
    <col min="4323" max="4324" width="0" hidden="1" customWidth="1"/>
    <col min="4571" max="4571" width="28.85546875" customWidth="1"/>
    <col min="4573" max="4574" width="0" hidden="1" customWidth="1"/>
    <col min="4576" max="4577" width="0" hidden="1" customWidth="1"/>
    <col min="4579" max="4580" width="0" hidden="1" customWidth="1"/>
    <col min="4827" max="4827" width="28.85546875" customWidth="1"/>
    <col min="4829" max="4830" width="0" hidden="1" customWidth="1"/>
    <col min="4832" max="4833" width="0" hidden="1" customWidth="1"/>
    <col min="4835" max="4836" width="0" hidden="1" customWidth="1"/>
    <col min="5083" max="5083" width="28.85546875" customWidth="1"/>
    <col min="5085" max="5086" width="0" hidden="1" customWidth="1"/>
    <col min="5088" max="5089" width="0" hidden="1" customWidth="1"/>
    <col min="5091" max="5092" width="0" hidden="1" customWidth="1"/>
    <col min="5339" max="5339" width="28.85546875" customWidth="1"/>
    <col min="5341" max="5342" width="0" hidden="1" customWidth="1"/>
    <col min="5344" max="5345" width="0" hidden="1" customWidth="1"/>
    <col min="5347" max="5348" width="0" hidden="1" customWidth="1"/>
    <col min="5595" max="5595" width="28.85546875" customWidth="1"/>
    <col min="5597" max="5598" width="0" hidden="1" customWidth="1"/>
    <col min="5600" max="5601" width="0" hidden="1" customWidth="1"/>
    <col min="5603" max="5604" width="0" hidden="1" customWidth="1"/>
    <col min="5851" max="5851" width="28.85546875" customWidth="1"/>
    <col min="5853" max="5854" width="0" hidden="1" customWidth="1"/>
    <col min="5856" max="5857" width="0" hidden="1" customWidth="1"/>
    <col min="5859" max="5860" width="0" hidden="1" customWidth="1"/>
    <col min="6107" max="6107" width="28.85546875" customWidth="1"/>
    <col min="6109" max="6110" width="0" hidden="1" customWidth="1"/>
    <col min="6112" max="6113" width="0" hidden="1" customWidth="1"/>
    <col min="6115" max="6116" width="0" hidden="1" customWidth="1"/>
    <col min="6363" max="6363" width="28.85546875" customWidth="1"/>
    <col min="6365" max="6366" width="0" hidden="1" customWidth="1"/>
    <col min="6368" max="6369" width="0" hidden="1" customWidth="1"/>
    <col min="6371" max="6372" width="0" hidden="1" customWidth="1"/>
    <col min="6619" max="6619" width="28.85546875" customWidth="1"/>
    <col min="6621" max="6622" width="0" hidden="1" customWidth="1"/>
    <col min="6624" max="6625" width="0" hidden="1" customWidth="1"/>
    <col min="6627" max="6628" width="0" hidden="1" customWidth="1"/>
    <col min="6875" max="6875" width="28.85546875" customWidth="1"/>
    <col min="6877" max="6878" width="0" hidden="1" customWidth="1"/>
    <col min="6880" max="6881" width="0" hidden="1" customWidth="1"/>
    <col min="6883" max="6884" width="0" hidden="1" customWidth="1"/>
    <col min="7131" max="7131" width="28.85546875" customWidth="1"/>
    <col min="7133" max="7134" width="0" hidden="1" customWidth="1"/>
    <col min="7136" max="7137" width="0" hidden="1" customWidth="1"/>
    <col min="7139" max="7140" width="0" hidden="1" customWidth="1"/>
    <col min="7387" max="7387" width="28.85546875" customWidth="1"/>
    <col min="7389" max="7390" width="0" hidden="1" customWidth="1"/>
    <col min="7392" max="7393" width="0" hidden="1" customWidth="1"/>
    <col min="7395" max="7396" width="0" hidden="1" customWidth="1"/>
    <col min="7643" max="7643" width="28.85546875" customWidth="1"/>
    <col min="7645" max="7646" width="0" hidden="1" customWidth="1"/>
    <col min="7648" max="7649" width="0" hidden="1" customWidth="1"/>
    <col min="7651" max="7652" width="0" hidden="1" customWidth="1"/>
    <col min="7899" max="7899" width="28.85546875" customWidth="1"/>
    <col min="7901" max="7902" width="0" hidden="1" customWidth="1"/>
    <col min="7904" max="7905" width="0" hidden="1" customWidth="1"/>
    <col min="7907" max="7908" width="0" hidden="1" customWidth="1"/>
    <col min="8155" max="8155" width="28.85546875" customWidth="1"/>
    <col min="8157" max="8158" width="0" hidden="1" customWidth="1"/>
    <col min="8160" max="8161" width="0" hidden="1" customWidth="1"/>
    <col min="8163" max="8164" width="0" hidden="1" customWidth="1"/>
    <col min="8411" max="8411" width="28.85546875" customWidth="1"/>
    <col min="8413" max="8414" width="0" hidden="1" customWidth="1"/>
    <col min="8416" max="8417" width="0" hidden="1" customWidth="1"/>
    <col min="8419" max="8420" width="0" hidden="1" customWidth="1"/>
    <col min="8667" max="8667" width="28.85546875" customWidth="1"/>
    <col min="8669" max="8670" width="0" hidden="1" customWidth="1"/>
    <col min="8672" max="8673" width="0" hidden="1" customWidth="1"/>
    <col min="8675" max="8676" width="0" hidden="1" customWidth="1"/>
    <col min="8923" max="8923" width="28.85546875" customWidth="1"/>
    <col min="8925" max="8926" width="0" hidden="1" customWidth="1"/>
    <col min="8928" max="8929" width="0" hidden="1" customWidth="1"/>
    <col min="8931" max="8932" width="0" hidden="1" customWidth="1"/>
    <col min="9179" max="9179" width="28.85546875" customWidth="1"/>
    <col min="9181" max="9182" width="0" hidden="1" customWidth="1"/>
    <col min="9184" max="9185" width="0" hidden="1" customWidth="1"/>
    <col min="9187" max="9188" width="0" hidden="1" customWidth="1"/>
    <col min="9435" max="9435" width="28.85546875" customWidth="1"/>
    <col min="9437" max="9438" width="0" hidden="1" customWidth="1"/>
    <col min="9440" max="9441" width="0" hidden="1" customWidth="1"/>
    <col min="9443" max="9444" width="0" hidden="1" customWidth="1"/>
    <col min="9691" max="9691" width="28.85546875" customWidth="1"/>
    <col min="9693" max="9694" width="0" hidden="1" customWidth="1"/>
    <col min="9696" max="9697" width="0" hidden="1" customWidth="1"/>
    <col min="9699" max="9700" width="0" hidden="1" customWidth="1"/>
    <col min="9947" max="9947" width="28.85546875" customWidth="1"/>
    <col min="9949" max="9950" width="0" hidden="1" customWidth="1"/>
    <col min="9952" max="9953" width="0" hidden="1" customWidth="1"/>
    <col min="9955" max="9956" width="0" hidden="1" customWidth="1"/>
    <col min="10203" max="10203" width="28.85546875" customWidth="1"/>
    <col min="10205" max="10206" width="0" hidden="1" customWidth="1"/>
    <col min="10208" max="10209" width="0" hidden="1" customWidth="1"/>
    <col min="10211" max="10212" width="0" hidden="1" customWidth="1"/>
    <col min="10459" max="10459" width="28.85546875" customWidth="1"/>
    <col min="10461" max="10462" width="0" hidden="1" customWidth="1"/>
    <col min="10464" max="10465" width="0" hidden="1" customWidth="1"/>
    <col min="10467" max="10468" width="0" hidden="1" customWidth="1"/>
    <col min="10715" max="10715" width="28.85546875" customWidth="1"/>
    <col min="10717" max="10718" width="0" hidden="1" customWidth="1"/>
    <col min="10720" max="10721" width="0" hidden="1" customWidth="1"/>
    <col min="10723" max="10724" width="0" hidden="1" customWidth="1"/>
    <col min="10971" max="10971" width="28.85546875" customWidth="1"/>
    <col min="10973" max="10974" width="0" hidden="1" customWidth="1"/>
    <col min="10976" max="10977" width="0" hidden="1" customWidth="1"/>
    <col min="10979" max="10980" width="0" hidden="1" customWidth="1"/>
    <col min="11227" max="11227" width="28.85546875" customWidth="1"/>
    <col min="11229" max="11230" width="0" hidden="1" customWidth="1"/>
    <col min="11232" max="11233" width="0" hidden="1" customWidth="1"/>
    <col min="11235" max="11236" width="0" hidden="1" customWidth="1"/>
    <col min="11483" max="11483" width="28.85546875" customWidth="1"/>
    <col min="11485" max="11486" width="0" hidden="1" customWidth="1"/>
    <col min="11488" max="11489" width="0" hidden="1" customWidth="1"/>
    <col min="11491" max="11492" width="0" hidden="1" customWidth="1"/>
    <col min="11739" max="11739" width="28.85546875" customWidth="1"/>
    <col min="11741" max="11742" width="0" hidden="1" customWidth="1"/>
    <col min="11744" max="11745" width="0" hidden="1" customWidth="1"/>
    <col min="11747" max="11748" width="0" hidden="1" customWidth="1"/>
    <col min="11995" max="11995" width="28.85546875" customWidth="1"/>
    <col min="11997" max="11998" width="0" hidden="1" customWidth="1"/>
    <col min="12000" max="12001" width="0" hidden="1" customWidth="1"/>
    <col min="12003" max="12004" width="0" hidden="1" customWidth="1"/>
    <col min="12251" max="12251" width="28.85546875" customWidth="1"/>
    <col min="12253" max="12254" width="0" hidden="1" customWidth="1"/>
    <col min="12256" max="12257" width="0" hidden="1" customWidth="1"/>
    <col min="12259" max="12260" width="0" hidden="1" customWidth="1"/>
    <col min="12507" max="12507" width="28.85546875" customWidth="1"/>
    <col min="12509" max="12510" width="0" hidden="1" customWidth="1"/>
    <col min="12512" max="12513" width="0" hidden="1" customWidth="1"/>
    <col min="12515" max="12516" width="0" hidden="1" customWidth="1"/>
    <col min="12763" max="12763" width="28.85546875" customWidth="1"/>
    <col min="12765" max="12766" width="0" hidden="1" customWidth="1"/>
    <col min="12768" max="12769" width="0" hidden="1" customWidth="1"/>
    <col min="12771" max="12772" width="0" hidden="1" customWidth="1"/>
    <col min="13019" max="13019" width="28.85546875" customWidth="1"/>
    <col min="13021" max="13022" width="0" hidden="1" customWidth="1"/>
    <col min="13024" max="13025" width="0" hidden="1" customWidth="1"/>
    <col min="13027" max="13028" width="0" hidden="1" customWidth="1"/>
    <col min="13275" max="13275" width="28.85546875" customWidth="1"/>
    <col min="13277" max="13278" width="0" hidden="1" customWidth="1"/>
    <col min="13280" max="13281" width="0" hidden="1" customWidth="1"/>
    <col min="13283" max="13284" width="0" hidden="1" customWidth="1"/>
    <col min="13531" max="13531" width="28.85546875" customWidth="1"/>
    <col min="13533" max="13534" width="0" hidden="1" customWidth="1"/>
    <col min="13536" max="13537" width="0" hidden="1" customWidth="1"/>
    <col min="13539" max="13540" width="0" hidden="1" customWidth="1"/>
    <col min="13787" max="13787" width="28.85546875" customWidth="1"/>
    <col min="13789" max="13790" width="0" hidden="1" customWidth="1"/>
    <col min="13792" max="13793" width="0" hidden="1" customWidth="1"/>
    <col min="13795" max="13796" width="0" hidden="1" customWidth="1"/>
    <col min="14043" max="14043" width="28.85546875" customWidth="1"/>
    <col min="14045" max="14046" width="0" hidden="1" customWidth="1"/>
    <col min="14048" max="14049" width="0" hidden="1" customWidth="1"/>
    <col min="14051" max="14052" width="0" hidden="1" customWidth="1"/>
    <col min="14299" max="14299" width="28.85546875" customWidth="1"/>
    <col min="14301" max="14302" width="0" hidden="1" customWidth="1"/>
    <col min="14304" max="14305" width="0" hidden="1" customWidth="1"/>
    <col min="14307" max="14308" width="0" hidden="1" customWidth="1"/>
    <col min="14555" max="14555" width="28.85546875" customWidth="1"/>
    <col min="14557" max="14558" width="0" hidden="1" customWidth="1"/>
    <col min="14560" max="14561" width="0" hidden="1" customWidth="1"/>
    <col min="14563" max="14564" width="0" hidden="1" customWidth="1"/>
    <col min="14811" max="14811" width="28.85546875" customWidth="1"/>
    <col min="14813" max="14814" width="0" hidden="1" customWidth="1"/>
    <col min="14816" max="14817" width="0" hidden="1" customWidth="1"/>
    <col min="14819" max="14820" width="0" hidden="1" customWidth="1"/>
    <col min="15067" max="15067" width="28.85546875" customWidth="1"/>
    <col min="15069" max="15070" width="0" hidden="1" customWidth="1"/>
    <col min="15072" max="15073" width="0" hidden="1" customWidth="1"/>
    <col min="15075" max="15076" width="0" hidden="1" customWidth="1"/>
    <col min="15323" max="15323" width="28.85546875" customWidth="1"/>
    <col min="15325" max="15326" width="0" hidden="1" customWidth="1"/>
    <col min="15328" max="15329" width="0" hidden="1" customWidth="1"/>
    <col min="15331" max="15332" width="0" hidden="1" customWidth="1"/>
    <col min="15579" max="15579" width="28.85546875" customWidth="1"/>
    <col min="15581" max="15582" width="0" hidden="1" customWidth="1"/>
    <col min="15584" max="15585" width="0" hidden="1" customWidth="1"/>
    <col min="15587" max="15588" width="0" hidden="1" customWidth="1"/>
    <col min="15835" max="15835" width="28.85546875" customWidth="1"/>
    <col min="15837" max="15838" width="0" hidden="1" customWidth="1"/>
    <col min="15840" max="15841" width="0" hidden="1" customWidth="1"/>
    <col min="15843" max="15844" width="0" hidden="1" customWidth="1"/>
    <col min="16091" max="16091" width="28.85546875" customWidth="1"/>
    <col min="16093" max="16094" width="0" hidden="1" customWidth="1"/>
    <col min="16096" max="16097" width="0" hidden="1" customWidth="1"/>
    <col min="16099" max="16100" width="0" hidden="1" customWidth="1"/>
    <col min="16339" max="16344" width="11.42578125" customWidth="1"/>
  </cols>
  <sheetData>
    <row r="1" spans="1:29">
      <c r="A1" s="13"/>
      <c r="B1" s="13"/>
      <c r="C1" s="13"/>
    </row>
    <row r="2" spans="1:29" ht="22.5" customHeight="1">
      <c r="A2" s="13"/>
      <c r="B2" s="13"/>
      <c r="C2" s="704" t="s">
        <v>1317</v>
      </c>
      <c r="D2" s="704"/>
      <c r="E2" s="704"/>
      <c r="F2" s="704"/>
      <c r="G2" s="704"/>
      <c r="H2" s="704"/>
      <c r="I2" s="704"/>
      <c r="J2" s="704"/>
      <c r="K2" s="704"/>
      <c r="L2" s="704"/>
      <c r="M2" s="704"/>
      <c r="N2" s="704"/>
      <c r="O2" s="704"/>
      <c r="P2" s="704"/>
      <c r="Q2" s="704"/>
      <c r="R2" s="704"/>
      <c r="S2" s="704"/>
      <c r="T2" s="704"/>
      <c r="U2" s="704"/>
      <c r="V2" s="704"/>
      <c r="W2" s="704"/>
      <c r="X2" s="704"/>
    </row>
    <row r="3" spans="1:29" ht="20.25" customHeight="1">
      <c r="A3" s="13"/>
      <c r="B3" s="13"/>
      <c r="C3" s="785" t="s">
        <v>1324</v>
      </c>
      <c r="D3" s="785"/>
      <c r="E3" s="785"/>
      <c r="F3" s="785"/>
      <c r="G3" s="785"/>
      <c r="H3" s="785"/>
      <c r="I3" s="785"/>
      <c r="J3" s="785"/>
      <c r="K3" s="785"/>
      <c r="L3" s="785"/>
      <c r="M3" s="785"/>
      <c r="N3" s="785"/>
      <c r="O3" s="785"/>
      <c r="P3" s="785"/>
      <c r="Q3" s="785"/>
      <c r="R3" s="785"/>
      <c r="S3" s="785"/>
      <c r="T3" s="785"/>
      <c r="U3" s="785"/>
      <c r="V3" s="785"/>
      <c r="W3" s="785"/>
      <c r="X3" s="785"/>
    </row>
    <row r="4" spans="1:29" ht="21" customHeight="1">
      <c r="A4" s="13"/>
      <c r="B4" s="13"/>
      <c r="C4" s="784" t="s">
        <v>1035</v>
      </c>
      <c r="D4" s="784"/>
      <c r="E4" s="784"/>
      <c r="F4" s="784"/>
      <c r="G4" s="784"/>
      <c r="H4" s="784"/>
      <c r="I4" s="784"/>
      <c r="J4" s="784"/>
      <c r="K4" s="784"/>
      <c r="L4" s="784"/>
      <c r="M4" s="784"/>
      <c r="N4" s="784"/>
      <c r="O4" s="784"/>
      <c r="P4" s="784"/>
      <c r="Q4" s="784"/>
      <c r="R4" s="784"/>
      <c r="S4" s="784"/>
      <c r="T4" s="784"/>
      <c r="U4" s="784"/>
      <c r="V4" s="784"/>
      <c r="W4" s="784"/>
      <c r="X4" s="784"/>
    </row>
    <row r="5" spans="1:29" ht="16.5" customHeight="1">
      <c r="A5" s="13"/>
      <c r="B5" s="13"/>
      <c r="C5" s="704" t="s">
        <v>1330</v>
      </c>
      <c r="D5" s="704"/>
      <c r="E5" s="704"/>
      <c r="F5" s="704"/>
      <c r="G5" s="704"/>
      <c r="H5" s="704"/>
      <c r="I5" s="704"/>
      <c r="J5" s="704"/>
      <c r="K5" s="704"/>
      <c r="L5" s="704"/>
      <c r="M5" s="704"/>
      <c r="N5" s="704"/>
      <c r="O5" s="704"/>
      <c r="P5" s="704"/>
      <c r="Q5" s="704"/>
      <c r="R5" s="704"/>
      <c r="S5" s="704"/>
      <c r="T5" s="704"/>
      <c r="U5" s="704"/>
      <c r="V5" s="704"/>
      <c r="W5" s="704"/>
      <c r="X5" s="704"/>
    </row>
    <row r="6" spans="1:29" ht="22.5" customHeight="1">
      <c r="A6" s="13"/>
      <c r="B6" s="13"/>
      <c r="C6" s="704" t="s">
        <v>487</v>
      </c>
      <c r="D6" s="704"/>
      <c r="E6" s="704"/>
      <c r="F6" s="704"/>
      <c r="G6" s="704"/>
      <c r="H6" s="704"/>
      <c r="I6" s="704"/>
      <c r="J6" s="704"/>
      <c r="K6" s="704"/>
      <c r="L6" s="704"/>
      <c r="M6" s="704"/>
      <c r="N6" s="704"/>
      <c r="O6" s="704"/>
      <c r="P6" s="704"/>
      <c r="Q6" s="704"/>
      <c r="R6" s="704"/>
      <c r="S6" s="704"/>
      <c r="T6" s="704"/>
      <c r="U6" s="704"/>
      <c r="V6" s="704"/>
      <c r="W6" s="704"/>
      <c r="X6" s="704"/>
    </row>
    <row r="7" spans="1:29" s="11" customFormat="1" ht="19.5" customHeight="1" thickBot="1">
      <c r="A7" s="132"/>
      <c r="B7" s="132"/>
      <c r="C7" s="132"/>
      <c r="D7" s="133"/>
      <c r="E7" s="133"/>
      <c r="F7" s="133"/>
      <c r="G7" s="133"/>
      <c r="H7" s="133"/>
      <c r="J7" s="786" t="s">
        <v>1318</v>
      </c>
      <c r="K7" s="786"/>
      <c r="L7" s="786"/>
      <c r="M7" s="786"/>
      <c r="N7" s="786"/>
      <c r="O7" s="786"/>
      <c r="P7" s="786"/>
      <c r="AC7" s="337"/>
    </row>
    <row r="8" spans="1:29" s="185" customFormat="1" ht="18.75">
      <c r="A8" s="702" t="s">
        <v>92</v>
      </c>
      <c r="B8" s="718"/>
      <c r="C8" s="351">
        <f>G22</f>
        <v>56546495.279999994</v>
      </c>
      <c r="D8" s="195"/>
      <c r="AC8" s="338"/>
    </row>
    <row r="9" spans="1:29" s="185" customFormat="1" ht="18.75">
      <c r="A9" s="698" t="s">
        <v>842</v>
      </c>
      <c r="B9" s="726"/>
      <c r="C9" s="352">
        <f>56356256</f>
        <v>56356256</v>
      </c>
      <c r="D9" s="195"/>
      <c r="AC9" s="338"/>
    </row>
    <row r="10" spans="1:29" s="185" customFormat="1" ht="18.75">
      <c r="A10" s="698" t="s">
        <v>5</v>
      </c>
      <c r="B10" s="726"/>
      <c r="C10" s="352">
        <f>J22</f>
        <v>52269388.619999997</v>
      </c>
      <c r="D10" s="195"/>
      <c r="AC10" s="338"/>
    </row>
    <row r="11" spans="1:29" s="185" customFormat="1" ht="19.5" thickBot="1">
      <c r="A11" s="700" t="s">
        <v>13</v>
      </c>
      <c r="B11" s="727"/>
      <c r="C11" s="353">
        <f>M22</f>
        <v>4277104.3900000006</v>
      </c>
      <c r="D11" s="195"/>
      <c r="I11" s="197"/>
      <c r="AC11" s="338"/>
    </row>
    <row r="12" spans="1:29" ht="15.75" customHeight="1">
      <c r="A12" s="120"/>
      <c r="B12" s="121"/>
      <c r="C12" s="121"/>
      <c r="D12" s="121"/>
      <c r="G12" s="173"/>
      <c r="L12" s="725"/>
      <c r="M12" s="725"/>
    </row>
    <row r="13" spans="1:29" ht="15.75" thickBot="1">
      <c r="A13" s="120"/>
      <c r="B13" s="121"/>
      <c r="C13" s="121"/>
      <c r="D13" s="121"/>
      <c r="E13" s="121"/>
      <c r="J13" s="173"/>
      <c r="O13" s="122"/>
      <c r="X13" s="123" t="s">
        <v>1039</v>
      </c>
      <c r="AC13"/>
    </row>
    <row r="14" spans="1:29" ht="16.5" thickTop="1" thickBot="1">
      <c r="A14" s="17"/>
      <c r="B14" s="17"/>
      <c r="C14" s="17"/>
      <c r="D14" s="17"/>
      <c r="E14" s="17"/>
      <c r="F14" s="17"/>
      <c r="G14" s="719" t="s">
        <v>14</v>
      </c>
      <c r="H14" s="720"/>
      <c r="I14" s="721"/>
      <c r="J14" s="719" t="s">
        <v>15</v>
      </c>
      <c r="K14" s="720"/>
      <c r="L14" s="721"/>
      <c r="M14" s="722" t="s">
        <v>16</v>
      </c>
      <c r="N14" s="723"/>
      <c r="O14" s="724"/>
      <c r="P14" s="124"/>
      <c r="Q14" s="20"/>
      <c r="R14" s="20"/>
      <c r="S14" s="125"/>
      <c r="T14" s="125"/>
      <c r="U14" s="125"/>
      <c r="V14" s="22"/>
      <c r="W14" s="20"/>
      <c r="X14" s="20"/>
      <c r="AC14"/>
    </row>
    <row r="15" spans="1:29" ht="34.5" thickBot="1">
      <c r="A15" s="137" t="s">
        <v>183</v>
      </c>
      <c r="B15" s="138" t="s">
        <v>18</v>
      </c>
      <c r="C15" s="138" t="s">
        <v>19</v>
      </c>
      <c r="D15" s="126" t="s">
        <v>20</v>
      </c>
      <c r="E15" s="126" t="s">
        <v>94</v>
      </c>
      <c r="F15" s="126" t="s">
        <v>22</v>
      </c>
      <c r="G15" s="126" t="s">
        <v>23</v>
      </c>
      <c r="H15" s="126" t="s">
        <v>24</v>
      </c>
      <c r="I15" s="126" t="s">
        <v>95</v>
      </c>
      <c r="J15" s="127" t="s">
        <v>23</v>
      </c>
      <c r="K15" s="126" t="s">
        <v>24</v>
      </c>
      <c r="L15" s="126" t="s">
        <v>95</v>
      </c>
      <c r="M15" s="126" t="s">
        <v>23</v>
      </c>
      <c r="N15" s="126" t="s">
        <v>24</v>
      </c>
      <c r="O15" s="126" t="s">
        <v>95</v>
      </c>
      <c r="P15" s="126" t="s">
        <v>25</v>
      </c>
      <c r="Q15" s="126" t="s">
        <v>26</v>
      </c>
      <c r="R15" s="126" t="s">
        <v>27</v>
      </c>
      <c r="S15" s="126" t="s">
        <v>28</v>
      </c>
      <c r="T15" s="126"/>
      <c r="U15" s="126" t="s">
        <v>29</v>
      </c>
      <c r="V15" s="126" t="s">
        <v>30</v>
      </c>
      <c r="W15" s="126" t="s">
        <v>31</v>
      </c>
      <c r="X15" s="128" t="s">
        <v>32</v>
      </c>
      <c r="AC15"/>
    </row>
    <row r="16" spans="1:29" s="544" customFormat="1" ht="42.75">
      <c r="A16" s="541" t="s">
        <v>156</v>
      </c>
      <c r="B16" s="198">
        <v>42788</v>
      </c>
      <c r="C16" s="199" t="s">
        <v>471</v>
      </c>
      <c r="D16" s="199" t="s">
        <v>198</v>
      </c>
      <c r="E16" s="199" t="s">
        <v>472</v>
      </c>
      <c r="F16" s="200" t="s">
        <v>473</v>
      </c>
      <c r="G16" s="201">
        <f>I16</f>
        <v>4693820</v>
      </c>
      <c r="H16" s="202">
        <v>0</v>
      </c>
      <c r="I16" s="202">
        <v>4693820</v>
      </c>
      <c r="J16" s="201">
        <f>L16</f>
        <v>4693820</v>
      </c>
      <c r="K16" s="201">
        <v>0</v>
      </c>
      <c r="L16" s="202">
        <v>4693820</v>
      </c>
      <c r="M16" s="201">
        <f>O16</f>
        <v>0</v>
      </c>
      <c r="N16" s="542">
        <f t="shared" ref="N16:N21" si="0">H16-K16</f>
        <v>0</v>
      </c>
      <c r="O16" s="543">
        <v>0</v>
      </c>
      <c r="P16" s="203" t="s">
        <v>186</v>
      </c>
      <c r="Q16" s="587">
        <f t="shared" ref="Q16:Q21" si="1">J16/G16</f>
        <v>1</v>
      </c>
      <c r="R16" s="588">
        <f>Q16</f>
        <v>1</v>
      </c>
      <c r="S16" s="204" t="s">
        <v>474</v>
      </c>
      <c r="T16" s="203">
        <v>8</v>
      </c>
      <c r="U16" s="205" t="s">
        <v>186</v>
      </c>
      <c r="V16" s="205" t="s">
        <v>186</v>
      </c>
      <c r="W16" s="205" t="s">
        <v>186</v>
      </c>
      <c r="X16" s="205" t="s">
        <v>186</v>
      </c>
    </row>
    <row r="17" spans="1:29" s="544" customFormat="1" ht="42.75">
      <c r="A17" s="545" t="s">
        <v>156</v>
      </c>
      <c r="B17" s="207">
        <v>42789</v>
      </c>
      <c r="C17" s="208" t="s">
        <v>471</v>
      </c>
      <c r="D17" s="208" t="s">
        <v>198</v>
      </c>
      <c r="E17" s="208" t="s">
        <v>846</v>
      </c>
      <c r="F17" s="209" t="s">
        <v>475</v>
      </c>
      <c r="G17" s="210">
        <f>I17</f>
        <v>5474888</v>
      </c>
      <c r="H17" s="211">
        <v>0</v>
      </c>
      <c r="I17" s="211">
        <v>5474888</v>
      </c>
      <c r="J17" s="210">
        <f t="shared" ref="J17:J20" si="2">L17</f>
        <v>5474888</v>
      </c>
      <c r="K17" s="210">
        <v>0</v>
      </c>
      <c r="L17" s="211">
        <v>5474888</v>
      </c>
      <c r="M17" s="210">
        <f t="shared" ref="M17:M20" si="3">O17</f>
        <v>0</v>
      </c>
      <c r="N17" s="546">
        <f t="shared" si="0"/>
        <v>0</v>
      </c>
      <c r="O17" s="547">
        <v>0</v>
      </c>
      <c r="P17" s="212" t="s">
        <v>186</v>
      </c>
      <c r="Q17" s="578">
        <f t="shared" si="1"/>
        <v>1</v>
      </c>
      <c r="R17" s="589">
        <f t="shared" ref="R17:R21" si="4">Q17</f>
        <v>1</v>
      </c>
      <c r="S17" s="213" t="s">
        <v>476</v>
      </c>
      <c r="T17" s="212">
        <v>796</v>
      </c>
      <c r="U17" s="206">
        <v>796</v>
      </c>
      <c r="V17" s="206" t="s">
        <v>186</v>
      </c>
      <c r="W17" s="206" t="s">
        <v>186</v>
      </c>
      <c r="X17" s="206" t="s">
        <v>186</v>
      </c>
    </row>
    <row r="18" spans="1:29" s="544" customFormat="1" ht="42.75">
      <c r="A18" s="545" t="s">
        <v>156</v>
      </c>
      <c r="B18" s="207">
        <v>42790</v>
      </c>
      <c r="C18" s="208" t="s">
        <v>471</v>
      </c>
      <c r="D18" s="208" t="s">
        <v>198</v>
      </c>
      <c r="E18" s="208" t="s">
        <v>477</v>
      </c>
      <c r="F18" s="209" t="s">
        <v>478</v>
      </c>
      <c r="G18" s="210">
        <f>I18</f>
        <v>4556100</v>
      </c>
      <c r="H18" s="211">
        <v>0</v>
      </c>
      <c r="I18" s="211">
        <v>4556100</v>
      </c>
      <c r="J18" s="210">
        <f t="shared" si="2"/>
        <v>4335750</v>
      </c>
      <c r="K18" s="210">
        <v>0</v>
      </c>
      <c r="L18" s="211">
        <v>4335750</v>
      </c>
      <c r="M18" s="210">
        <f t="shared" si="3"/>
        <v>220350</v>
      </c>
      <c r="N18" s="546">
        <f t="shared" si="0"/>
        <v>0</v>
      </c>
      <c r="O18" s="547">
        <f>G18-J18</f>
        <v>220350</v>
      </c>
      <c r="P18" s="212" t="s">
        <v>186</v>
      </c>
      <c r="Q18" s="578">
        <f t="shared" si="1"/>
        <v>0.95163626786067035</v>
      </c>
      <c r="R18" s="589">
        <f t="shared" si="4"/>
        <v>0.95163626786067035</v>
      </c>
      <c r="S18" s="213" t="s">
        <v>479</v>
      </c>
      <c r="T18" s="212">
        <f>100+3+100+40+386+386+170+1082+1086+374+100</f>
        <v>3827</v>
      </c>
      <c r="U18" s="206">
        <v>1466</v>
      </c>
      <c r="V18" s="206" t="s">
        <v>186</v>
      </c>
      <c r="W18" s="206" t="s">
        <v>186</v>
      </c>
      <c r="X18" s="206" t="s">
        <v>186</v>
      </c>
    </row>
    <row r="19" spans="1:29" s="544" customFormat="1" ht="71.25">
      <c r="A19" s="548" t="s">
        <v>156</v>
      </c>
      <c r="B19" s="549">
        <v>42791</v>
      </c>
      <c r="C19" s="550" t="s">
        <v>471</v>
      </c>
      <c r="D19" s="550" t="s">
        <v>198</v>
      </c>
      <c r="E19" s="550" t="s">
        <v>480</v>
      </c>
      <c r="F19" s="209" t="s">
        <v>481</v>
      </c>
      <c r="G19" s="467">
        <f>I19</f>
        <v>18698879.879999999</v>
      </c>
      <c r="H19" s="551">
        <v>0</v>
      </c>
      <c r="I19" s="551">
        <f>17700827.88+998052</f>
        <v>18698879.879999999</v>
      </c>
      <c r="J19" s="210">
        <f t="shared" si="2"/>
        <v>18698877.879999999</v>
      </c>
      <c r="K19" s="467">
        <v>0</v>
      </c>
      <c r="L19" s="551">
        <f>17700827.88+998050</f>
        <v>18698877.879999999</v>
      </c>
      <c r="M19" s="210">
        <f t="shared" si="3"/>
        <v>0</v>
      </c>
      <c r="N19" s="552">
        <f t="shared" si="0"/>
        <v>0</v>
      </c>
      <c r="O19" s="553">
        <v>0</v>
      </c>
      <c r="P19" s="212" t="s">
        <v>186</v>
      </c>
      <c r="Q19" s="589">
        <f t="shared" si="1"/>
        <v>0.99999989304172154</v>
      </c>
      <c r="R19" s="589">
        <f t="shared" si="4"/>
        <v>0.99999989304172154</v>
      </c>
      <c r="S19" s="554" t="s">
        <v>482</v>
      </c>
      <c r="T19" s="555">
        <f>2916+2916+1458+1458+180+140000</f>
        <v>148928</v>
      </c>
      <c r="U19" s="556">
        <v>148928</v>
      </c>
      <c r="V19" s="206" t="s">
        <v>186</v>
      </c>
      <c r="W19" s="206" t="s">
        <v>186</v>
      </c>
      <c r="X19" s="206" t="s">
        <v>186</v>
      </c>
    </row>
    <row r="20" spans="1:29" s="544" customFormat="1" ht="28.5">
      <c r="A20" s="548" t="s">
        <v>156</v>
      </c>
      <c r="B20" s="549">
        <v>42791</v>
      </c>
      <c r="C20" s="550" t="s">
        <v>471</v>
      </c>
      <c r="D20" s="550" t="s">
        <v>198</v>
      </c>
      <c r="E20" s="550" t="s">
        <v>483</v>
      </c>
      <c r="F20" s="209" t="s">
        <v>484</v>
      </c>
      <c r="G20" s="461">
        <f>I20</f>
        <v>13730098</v>
      </c>
      <c r="H20" s="557">
        <v>0</v>
      </c>
      <c r="I20" s="557">
        <v>13730098</v>
      </c>
      <c r="J20" s="215">
        <f t="shared" si="2"/>
        <v>13730097.73</v>
      </c>
      <c r="K20" s="461">
        <v>0</v>
      </c>
      <c r="L20" s="551">
        <v>13730097.73</v>
      </c>
      <c r="M20" s="210">
        <f t="shared" si="3"/>
        <v>0</v>
      </c>
      <c r="N20" s="552">
        <f t="shared" si="0"/>
        <v>0</v>
      </c>
      <c r="O20" s="553">
        <v>0</v>
      </c>
      <c r="P20" s="212" t="s">
        <v>186</v>
      </c>
      <c r="Q20" s="589">
        <f t="shared" si="1"/>
        <v>0.99999998033517312</v>
      </c>
      <c r="R20" s="589">
        <f t="shared" si="4"/>
        <v>0.99999998033517312</v>
      </c>
      <c r="S20" s="554" t="s">
        <v>467</v>
      </c>
      <c r="T20" s="555">
        <v>1</v>
      </c>
      <c r="U20" s="556" t="s">
        <v>795</v>
      </c>
      <c r="V20" s="206" t="s">
        <v>186</v>
      </c>
      <c r="W20" s="206" t="s">
        <v>186</v>
      </c>
      <c r="X20" s="206" t="s">
        <v>186</v>
      </c>
    </row>
    <row r="21" spans="1:29" s="544" customFormat="1" ht="59.25" thickBot="1">
      <c r="A21" s="545" t="s">
        <v>156</v>
      </c>
      <c r="B21" s="207">
        <v>42795</v>
      </c>
      <c r="C21" s="208" t="s">
        <v>471</v>
      </c>
      <c r="D21" s="208" t="s">
        <v>198</v>
      </c>
      <c r="E21" s="208" t="s">
        <v>485</v>
      </c>
      <c r="F21" s="209" t="s">
        <v>1309</v>
      </c>
      <c r="G21" s="210">
        <f>H21</f>
        <v>9392709.4000000004</v>
      </c>
      <c r="H21" s="211">
        <v>9392709.4000000004</v>
      </c>
      <c r="I21" s="211">
        <v>0</v>
      </c>
      <c r="J21" s="210">
        <f>K21</f>
        <v>5335955.01</v>
      </c>
      <c r="K21" s="210">
        <v>5335955.01</v>
      </c>
      <c r="L21" s="211">
        <v>0</v>
      </c>
      <c r="M21" s="210">
        <f>N21</f>
        <v>4056754.3900000006</v>
      </c>
      <c r="N21" s="558">
        <f t="shared" si="0"/>
        <v>4056754.3900000006</v>
      </c>
      <c r="O21" s="547">
        <v>0</v>
      </c>
      <c r="P21" s="212" t="s">
        <v>186</v>
      </c>
      <c r="Q21" s="578">
        <f t="shared" si="1"/>
        <v>0.56809540067320718</v>
      </c>
      <c r="R21" s="589">
        <f t="shared" si="4"/>
        <v>0.56809540067320718</v>
      </c>
      <c r="S21" s="213" t="s">
        <v>474</v>
      </c>
      <c r="T21" s="212">
        <v>1</v>
      </c>
      <c r="U21" s="206" t="s">
        <v>486</v>
      </c>
      <c r="V21" s="206" t="s">
        <v>186</v>
      </c>
      <c r="W21" s="206" t="s">
        <v>186</v>
      </c>
      <c r="X21" s="206" t="s">
        <v>186</v>
      </c>
    </row>
    <row r="22" spans="1:29" s="544" customFormat="1" ht="16.5" thickTop="1" thickBot="1">
      <c r="A22" s="268"/>
      <c r="B22" s="268"/>
      <c r="C22" s="268"/>
      <c r="D22" s="268"/>
      <c r="E22" s="268"/>
      <c r="F22" s="259" t="s">
        <v>89</v>
      </c>
      <c r="G22" s="260">
        <f>SUM(G16:G21)</f>
        <v>56546495.279999994</v>
      </c>
      <c r="H22" s="260">
        <f>SUM(H21:H21)</f>
        <v>9392709.4000000004</v>
      </c>
      <c r="I22" s="260">
        <f t="shared" ref="I22:O22" si="5">SUM(I16:I21)</f>
        <v>47153785.879999995</v>
      </c>
      <c r="J22" s="283">
        <f t="shared" si="5"/>
        <v>52269388.619999997</v>
      </c>
      <c r="K22" s="260">
        <f t="shared" si="5"/>
        <v>5335955.01</v>
      </c>
      <c r="L22" s="260">
        <f t="shared" si="5"/>
        <v>46933433.609999999</v>
      </c>
      <c r="M22" s="260">
        <f t="shared" si="5"/>
        <v>4277104.3900000006</v>
      </c>
      <c r="N22" s="260">
        <f t="shared" si="5"/>
        <v>4056754.3900000006</v>
      </c>
      <c r="O22" s="260">
        <f t="shared" si="5"/>
        <v>220350</v>
      </c>
      <c r="P22" s="320"/>
      <c r="Q22" s="321"/>
      <c r="R22" s="269"/>
      <c r="S22" s="322"/>
      <c r="T22" s="270"/>
      <c r="U22" s="270"/>
      <c r="V22" s="271"/>
      <c r="W22" s="269"/>
      <c r="X22" s="269"/>
    </row>
    <row r="23" spans="1:29" s="267" customFormat="1" ht="13.5" thickTop="1">
      <c r="A23" s="295"/>
      <c r="B23" s="29"/>
      <c r="C23" s="29"/>
      <c r="D23" s="29"/>
      <c r="E23" s="29"/>
      <c r="F23" s="29"/>
      <c r="G23" s="131"/>
      <c r="H23" s="131"/>
      <c r="I23" s="131"/>
      <c r="J23" s="131"/>
      <c r="K23" s="131"/>
      <c r="L23" s="131"/>
      <c r="M23" s="131"/>
      <c r="N23" s="29"/>
      <c r="O23" s="29"/>
      <c r="P23" s="131"/>
      <c r="Q23" s="29"/>
      <c r="R23" s="29"/>
      <c r="S23" s="130"/>
      <c r="T23" s="51"/>
      <c r="U23" s="51"/>
      <c r="V23" s="46"/>
      <c r="W23" s="29"/>
      <c r="X23" s="29"/>
    </row>
    <row r="24" spans="1:29" s="267" customFormat="1" ht="12.75">
      <c r="A24" s="56" t="s">
        <v>91</v>
      </c>
      <c r="B24" s="29"/>
      <c r="C24" s="29"/>
      <c r="D24" s="29"/>
      <c r="E24" s="29"/>
      <c r="F24" s="29"/>
      <c r="G24" s="131"/>
      <c r="H24" s="131"/>
      <c r="I24" s="131"/>
      <c r="J24" s="131"/>
      <c r="K24" s="131"/>
      <c r="L24" s="131"/>
      <c r="M24" s="131"/>
      <c r="N24" s="55"/>
      <c r="O24" s="55"/>
      <c r="P24" s="131"/>
      <c r="Q24" s="29"/>
      <c r="R24" s="29"/>
      <c r="S24" s="130"/>
      <c r="T24" s="51"/>
      <c r="U24" s="51"/>
      <c r="V24" s="46"/>
      <c r="W24" s="29"/>
      <c r="X24" s="29"/>
    </row>
    <row r="25" spans="1:29">
      <c r="AC25"/>
    </row>
    <row r="26" spans="1:29">
      <c r="N26" s="173"/>
      <c r="AC26"/>
    </row>
  </sheetData>
  <mergeCells count="14">
    <mergeCell ref="J7:P7"/>
    <mergeCell ref="A8:B8"/>
    <mergeCell ref="C2:X2"/>
    <mergeCell ref="C5:X5"/>
    <mergeCell ref="C6:X6"/>
    <mergeCell ref="G14:I14"/>
    <mergeCell ref="J14:L14"/>
    <mergeCell ref="M14:O14"/>
    <mergeCell ref="L12:M12"/>
    <mergeCell ref="A9:B9"/>
    <mergeCell ref="A10:B10"/>
    <mergeCell ref="A11:B11"/>
    <mergeCell ref="C3:X3"/>
    <mergeCell ref="C4:X4"/>
  </mergeCells>
  <pageMargins left="0.31496062992125984" right="0.31496062992125984" top="0.74803149606299213" bottom="0.74803149606299213" header="0.31496062992125984" footer="0.31496062992125984"/>
  <pageSetup scale="63"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RESUMEN</vt:lpstr>
      <vt:lpstr>PDM</vt:lpstr>
      <vt:lpstr>PRORE 2017-2018</vt:lpstr>
      <vt:lpstr>PRORE 2018</vt:lpstr>
      <vt:lpstr>FORTAFIN  C</vt:lpstr>
      <vt:lpstr>FORTAMUND</vt:lpstr>
      <vt:lpstr>FORTAFIN A</vt:lpstr>
      <vt:lpstr>FORTAFIN B</vt:lpstr>
      <vt:lpstr>FORTASEG FEDERAL</vt:lpstr>
      <vt:lpstr>FISMDF</vt:lpstr>
      <vt:lpstr>EMPRENDEDOR</vt:lpstr>
      <vt:lpstr>3X1</vt:lpstr>
      <vt:lpstr>EMPLEO TEMPORAL</vt:lpstr>
      <vt:lpstr>'3X1'!Área_de_impresión</vt:lpstr>
      <vt:lpstr>'EMPLEO TEMPORAL'!Área_de_impresión</vt:lpstr>
      <vt:lpstr>EMPRENDEDOR!Área_de_impresión</vt:lpstr>
      <vt:lpstr>FISMDF!Área_de_impresión</vt:lpstr>
      <vt:lpstr>'FORTAFIN  C'!Área_de_impresión</vt:lpstr>
      <vt:lpstr>'FORTAFIN A'!Área_de_impresión</vt:lpstr>
      <vt:lpstr>'FORTAFIN B'!Área_de_impresión</vt:lpstr>
      <vt:lpstr>FORTAMUND!Área_de_impresión</vt:lpstr>
      <vt:lpstr>'FORTASEG FEDERAL'!Área_de_impresión</vt:lpstr>
      <vt:lpstr>PDM!Área_de_impresión</vt:lpstr>
      <vt:lpstr>'PRORE 2017-2018'!Área_de_impresión</vt:lpstr>
      <vt:lpstr>'PRORE 2018'!Área_de_impresión</vt:lpstr>
      <vt:lpstr>RESUMEN!Área_de_impresión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de Lourdes Ortiz Diaz</cp:lastModifiedBy>
  <cp:lastPrinted>2019-01-30T18:43:43Z</cp:lastPrinted>
  <dcterms:created xsi:type="dcterms:W3CDTF">2018-01-26T00:48:08Z</dcterms:created>
  <dcterms:modified xsi:type="dcterms:W3CDTF">2019-01-30T18:44:36Z</dcterms:modified>
</cp:coreProperties>
</file>